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60" tabRatio="784" activeTab="0"/>
  </bookViews>
  <sheets>
    <sheet name="Comércio" sheetId="1" r:id="rId1"/>
    <sheet name="Anexo 1" sheetId="2" r:id="rId2"/>
    <sheet name="Serviços (III)" sheetId="3" state="hidden" r:id="rId3"/>
    <sheet name="Anexo III" sheetId="4" state="hidden" r:id="rId4"/>
    <sheet name="Serviços IV" sheetId="5" state="hidden" r:id="rId5"/>
    <sheet name="Anexo IV" sheetId="6" state="hidden" r:id="rId6"/>
  </sheets>
  <definedNames>
    <definedName name="_xlnm.Print_Area" localSheetId="0">'Comércio'!$A$1:$V$43</definedName>
    <definedName name="Icms">'Anexo 1'!$L$33:$L$35</definedName>
  </definedNames>
  <calcPr fullCalcOnLoad="1"/>
</workbook>
</file>

<file path=xl/sharedStrings.xml><?xml version="1.0" encoding="utf-8"?>
<sst xmlns="http://schemas.openxmlformats.org/spreadsheetml/2006/main" count="122" uniqueCount="51">
  <si>
    <t>-</t>
  </si>
  <si>
    <t>=</t>
  </si>
  <si>
    <t>ICMS</t>
  </si>
  <si>
    <t>COFINS</t>
  </si>
  <si>
    <t>Receita Bruta</t>
  </si>
  <si>
    <t>Receita Líquida</t>
  </si>
  <si>
    <t>Resultado operacional</t>
  </si>
  <si>
    <t>Lucro Real</t>
  </si>
  <si>
    <t>Lucro Líquido</t>
  </si>
  <si>
    <t>Digite nas células em amarelo</t>
  </si>
  <si>
    <t>LALUR</t>
  </si>
  <si>
    <t>Lucro Presumido</t>
  </si>
  <si>
    <t>Base de cálculo do Lucro Presumido IR</t>
  </si>
  <si>
    <t>Base de cálculo do Lucro Presumido CSLL</t>
  </si>
  <si>
    <t>LUCRO REAL</t>
  </si>
  <si>
    <t>LUCRO PRESUMIDO</t>
  </si>
  <si>
    <t>SIMPLES NACIONAL</t>
  </si>
  <si>
    <t>Anexo I - Partilha do Simples Nacional – Comércio</t>
  </si>
  <si>
    <t>Receita Anual</t>
  </si>
  <si>
    <t>IRPJ</t>
  </si>
  <si>
    <t>CSLL</t>
  </si>
  <si>
    <t>PIS/PASEP</t>
  </si>
  <si>
    <t>CPP</t>
  </si>
  <si>
    <t>TOTAL</t>
  </si>
  <si>
    <t>Lucro - Simples</t>
  </si>
  <si>
    <t>COMPARAÇÃO LUCRO REAL X LUCRO PRESUMIDO X SIMPLES NACIONAL NO COMÉRCIO</t>
  </si>
  <si>
    <t>Em 12 meses</t>
  </si>
  <si>
    <t>Margem Bruta</t>
  </si>
  <si>
    <t>Substituição Tributária</t>
  </si>
  <si>
    <t>ICMS - Simples</t>
  </si>
  <si>
    <t>Isenção</t>
  </si>
  <si>
    <t>Receita Mensal</t>
  </si>
  <si>
    <t>ISS</t>
  </si>
  <si>
    <t xml:space="preserve">Anexo III - Partilha do Simples Nacional – Serviços e Locação de Bens Móveis </t>
  </si>
  <si>
    <t xml:space="preserve">COMPARAÇÃO LUCRO REAL X LUCRO PRESUMIDO X SIMPLES NACIONAL  - Serviços e Locação (Anexo III) </t>
  </si>
  <si>
    <t>COMPARAÇÃO LUCRO REAL X LUCRO PRESUMIDO X SIMPLES NACIONAL  - Serviços (Anexo IV)</t>
  </si>
  <si>
    <t xml:space="preserve">Anexo IV - Serviços </t>
  </si>
  <si>
    <t>Atividades &gt;</t>
  </si>
  <si>
    <t xml:space="preserve">Atividades &gt; </t>
  </si>
  <si>
    <t>Atacadista &gt;</t>
  </si>
  <si>
    <t>Para simulação: Digite nas células em amarelo</t>
  </si>
  <si>
    <t>Receita Bruta (Mensal)</t>
  </si>
  <si>
    <t>Em 12 meses (anual)</t>
  </si>
  <si>
    <t>Total</t>
  </si>
  <si>
    <t>TOTAL (*)</t>
  </si>
  <si>
    <t>(*) sem ICMS</t>
  </si>
  <si>
    <t>Encargos Fiscais (anexo I do Simples)</t>
  </si>
  <si>
    <t>Lucro: Simples</t>
  </si>
  <si>
    <t>Encargos Fiscais (Anexo III)</t>
  </si>
  <si>
    <t>Encargos Fiscais (Anexo IV)</t>
  </si>
  <si>
    <t>Receita Bruta Mensal (limite de 200 mil + 20%)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</si>
</sst>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&quot;PIS de&quot;\ 0.00%"/>
    <numFmt numFmtId="166" formatCode="&quot;Cofins de&quot;\ 0%"/>
    <numFmt numFmtId="167" formatCode="&quot;Folha Salarial de&quot;\ 0%"/>
    <numFmt numFmtId="168" formatCode="&quot;IR de&quot;\ 0%"/>
    <numFmt numFmtId="169" formatCode="&quot;CSLL de&quot;\ 0%"/>
    <numFmt numFmtId="170" formatCode="&quot;Comércio &gt;&quot;\ 0%"/>
    <numFmt numFmtId="171" formatCode="&quot;Alíquota da CSLL de&quot;\ 0%"/>
    <numFmt numFmtId="172" formatCode="&quot;Alíquota do IR de&quot;\ 0%"/>
    <numFmt numFmtId="173" formatCode="&quot;Redução de Base de cálculo do ICMS =&quot;\ 0.00%"/>
    <numFmt numFmtId="174" formatCode="&quot;Alíquota de&quot;\ 0.00%"/>
    <numFmt numFmtId="175" formatCode="&quot;Adicional de IR se &gt; 20 mil reais&quot;\ 0%"/>
    <numFmt numFmtId="176" formatCode="&quot;ISS de&quot;\ 0%"/>
    <numFmt numFmtId="177" formatCode="&quot;folha salarial =&quot;\ 0.0%"/>
    <numFmt numFmtId="178" formatCode="&quot;encargos sociais = &quot;\ 0.0%"/>
    <numFmt numFmtId="179" formatCode="&quot;despesas diversas =&quot;\ 0.0%"/>
    <numFmt numFmtId="180" formatCode="&quot;Serviços &gt;&quot;\ 0%"/>
    <numFmt numFmtId="181" formatCode="&quot;Custo do Serviço =&quot;\ 0.0%"/>
    <numFmt numFmtId="182" formatCode="&quot;Custo do Serviço  =&quot;\ 0.0%"/>
    <numFmt numFmtId="183" formatCode="&quot;Carga Tributária - Lucro Real&quot;\ &quot;R$ &quot;#,##0.00"/>
    <numFmt numFmtId="184" formatCode="&quot;Carga Tributária- Simples&quot;\ &quot;R$ &quot;#,##0.00"/>
    <numFmt numFmtId="185" formatCode="&quot;Carga Tributária - Lucro Presumido&quot;\ &quot;R$ &quot;#,##0.00"/>
    <numFmt numFmtId="186" formatCode="&quot;Lucro Presumido&quot;\ &quot;R$ &quot;#,##0.00"/>
    <numFmt numFmtId="187" formatCode="&quot;Lucro no Simples&quot;\ &quot;R$ &quot;#,##0.00"/>
    <numFmt numFmtId="188" formatCode="&quot;Lucro Real&quot;\ &quot;R$ &quot;#,##0.00"/>
    <numFmt numFmtId="189" formatCode="&quot;Custo da Mercadoria Vendida =&quot;\ 0.0%"/>
    <numFmt numFmtId="190" formatCode="&quot;Folha pagamento s/ Receita Bruta =&quot;\ 0.0%"/>
    <numFmt numFmtId="191" formatCode="&quot;Despesas diversas s/ Receita Bruta =&quot;\ 0.0%"/>
    <numFmt numFmtId="192" formatCode="&quot;Carga Tributária:  Lucro Real&quot;\ &quot;R$ &quot;#,##0.00"/>
    <numFmt numFmtId="193" formatCode="&quot;Carga Tributária: Lucro Presumido&quot;\ &quot;R$ &quot;#,##0.00"/>
    <numFmt numFmtId="194" formatCode="&quot;Carga Tributária: Simples&quot;\ &quot;R$ &quot;#,##0.00"/>
    <numFmt numFmtId="195" formatCode="&quot;Lucro: no Simples&quot;\ &quot;R$ &quot;#,##0.00"/>
    <numFmt numFmtId="196" formatCode="&quot;Lucro: no Lucro Presumido&quot;\ &quot;R$ &quot;#,##0.00"/>
    <numFmt numFmtId="197" formatCode="&quot;ICMS: Crédito sobre Compras&quot;\ 0%"/>
    <numFmt numFmtId="198" formatCode="&quot;Encargos sociais sobre folha = &quot;\ 0.0%"/>
    <numFmt numFmtId="199" formatCode="&quot;Carga Tributária: Lucro Real&quot;\ &quot;R$ &quot;#,##0.00"/>
    <numFmt numFmtId="200" formatCode="&quot;Carga Tributária:  Lucro Presumido&quot;\ &quot;R$ &quot;#,##0.00"/>
    <numFmt numFmtId="201" formatCode="&quot;Lucro: no Lucro Real&quot;\ &quot;R$ &quot;#,##0.00"/>
    <numFmt numFmtId="202" formatCode="&quot;ICMS sobre Vendas&quot;\ 0%"/>
    <numFmt numFmtId="203" formatCode="&quot;folha salarial = &quot;\ 0.0%"/>
    <numFmt numFmtId="204" formatCode="&quot;PIS não cumulativo de&quot;\ 0.00%"/>
    <numFmt numFmtId="205" formatCode="&quot;Cofins não cumulativo de&quot;\ 0.00%"/>
    <numFmt numFmtId="206" formatCode="&quot;Cofins não cumulativo de&quot;\ 0.0%"/>
    <numFmt numFmtId="207" formatCode="&quot;Cofins não cumultaivo de&quot;\ 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b/>
      <sz val="16"/>
      <color indexed="17"/>
      <name val="Arial"/>
      <family val="2"/>
    </font>
    <font>
      <b/>
      <sz val="14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rgb="FF00B050"/>
      <name val="Arial"/>
      <family val="2"/>
    </font>
    <font>
      <b/>
      <sz val="14"/>
      <color theme="1"/>
      <name val="Arial"/>
      <family val="2"/>
    </font>
    <font>
      <sz val="7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0" fontId="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0" fontId="2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8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164" fontId="49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/>
    </xf>
    <xf numFmtId="164" fontId="49" fillId="34" borderId="0" xfId="0" applyNumberFormat="1" applyFont="1" applyFill="1" applyBorder="1" applyAlignment="1">
      <alignment horizontal="right"/>
    </xf>
    <xf numFmtId="169" fontId="49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 horizontal="right"/>
    </xf>
    <xf numFmtId="168" fontId="49" fillId="34" borderId="0" xfId="0" applyNumberFormat="1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164" fontId="49" fillId="34" borderId="13" xfId="0" applyNumberFormat="1" applyFont="1" applyFill="1" applyBorder="1" applyAlignment="1">
      <alignment/>
    </xf>
    <xf numFmtId="165" fontId="49" fillId="34" borderId="12" xfId="0" applyNumberFormat="1" applyFont="1" applyFill="1" applyBorder="1" applyAlignment="1">
      <alignment/>
    </xf>
    <xf numFmtId="166" fontId="49" fillId="34" borderId="12" xfId="0" applyNumberFormat="1" applyFont="1" applyFill="1" applyBorder="1" applyAlignment="1">
      <alignment/>
    </xf>
    <xf numFmtId="167" fontId="49" fillId="34" borderId="12" xfId="0" applyNumberFormat="1" applyFont="1" applyFill="1" applyBorder="1" applyAlignment="1">
      <alignment/>
    </xf>
    <xf numFmtId="10" fontId="50" fillId="34" borderId="12" xfId="0" applyNumberFormat="1" applyFont="1" applyFill="1" applyBorder="1" applyAlignment="1">
      <alignment/>
    </xf>
    <xf numFmtId="170" fontId="49" fillId="34" borderId="12" xfId="0" applyNumberFormat="1" applyFont="1" applyFill="1" applyBorder="1" applyAlignment="1">
      <alignment/>
    </xf>
    <xf numFmtId="171" fontId="49" fillId="34" borderId="12" xfId="0" applyNumberFormat="1" applyFont="1" applyFill="1" applyBorder="1" applyAlignment="1">
      <alignment/>
    </xf>
    <xf numFmtId="172" fontId="49" fillId="34" borderId="12" xfId="0" applyNumberFormat="1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49" fillId="34" borderId="15" xfId="0" applyFont="1" applyFill="1" applyBorder="1" applyAlignment="1">
      <alignment/>
    </xf>
    <xf numFmtId="0" fontId="50" fillId="34" borderId="10" xfId="0" applyFont="1" applyFill="1" applyBorder="1" applyAlignment="1">
      <alignment horizontal="left"/>
    </xf>
    <xf numFmtId="0" fontId="50" fillId="34" borderId="16" xfId="0" applyFont="1" applyFill="1" applyBorder="1" applyAlignment="1">
      <alignment/>
    </xf>
    <xf numFmtId="164" fontId="49" fillId="34" borderId="11" xfId="0" applyNumberFormat="1" applyFont="1" applyFill="1" applyBorder="1" applyAlignment="1">
      <alignment/>
    </xf>
    <xf numFmtId="0" fontId="49" fillId="34" borderId="12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7" xfId="0" applyFont="1" applyFill="1" applyBorder="1" applyAlignment="1">
      <alignment/>
    </xf>
    <xf numFmtId="164" fontId="49" fillId="34" borderId="15" xfId="0" applyNumberFormat="1" applyFont="1" applyFill="1" applyBorder="1" applyAlignment="1">
      <alignment/>
    </xf>
    <xf numFmtId="0" fontId="50" fillId="34" borderId="12" xfId="0" applyFont="1" applyFill="1" applyBorder="1" applyAlignment="1">
      <alignment/>
    </xf>
    <xf numFmtId="174" fontId="49" fillId="34" borderId="12" xfId="0" applyNumberFormat="1" applyFont="1" applyFill="1" applyBorder="1" applyAlignment="1">
      <alignment/>
    </xf>
    <xf numFmtId="164" fontId="51" fillId="34" borderId="0" xfId="0" applyNumberFormat="1" applyFont="1" applyFill="1" applyBorder="1" applyAlignment="1">
      <alignment horizontal="left"/>
    </xf>
    <xf numFmtId="164" fontId="49" fillId="35" borderId="18" xfId="0" applyNumberFormat="1" applyFont="1" applyFill="1" applyBorder="1" applyAlignment="1" applyProtection="1">
      <alignment/>
      <protection locked="0"/>
    </xf>
    <xf numFmtId="164" fontId="50" fillId="34" borderId="13" xfId="0" applyNumberFormat="1" applyFont="1" applyFill="1" applyBorder="1" applyAlignment="1">
      <alignment/>
    </xf>
    <xf numFmtId="175" fontId="49" fillId="34" borderId="12" xfId="0" applyNumberFormat="1" applyFont="1" applyFill="1" applyBorder="1" applyAlignment="1">
      <alignment/>
    </xf>
    <xf numFmtId="0" fontId="49" fillId="35" borderId="18" xfId="0" applyFont="1" applyFill="1" applyBorder="1" applyAlignment="1" applyProtection="1">
      <alignment/>
      <protection locked="0"/>
    </xf>
    <xf numFmtId="176" fontId="49" fillId="35" borderId="18" xfId="0" applyNumberFormat="1" applyFont="1" applyFill="1" applyBorder="1" applyAlignment="1" applyProtection="1">
      <alignment/>
      <protection locked="0"/>
    </xf>
    <xf numFmtId="176" fontId="49" fillId="34" borderId="12" xfId="0" applyNumberFormat="1" applyFont="1" applyFill="1" applyBorder="1" applyAlignment="1">
      <alignment/>
    </xf>
    <xf numFmtId="175" fontId="49" fillId="34" borderId="0" xfId="0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/>
    </xf>
    <xf numFmtId="177" fontId="49" fillId="35" borderId="18" xfId="0" applyNumberFormat="1" applyFont="1" applyFill="1" applyBorder="1" applyAlignment="1" applyProtection="1">
      <alignment/>
      <protection locked="0"/>
    </xf>
    <xf numFmtId="178" fontId="49" fillId="35" borderId="18" xfId="0" applyNumberFormat="1" applyFont="1" applyFill="1" applyBorder="1" applyAlignment="1" applyProtection="1">
      <alignment/>
      <protection locked="0"/>
    </xf>
    <xf numFmtId="179" fontId="49" fillId="35" borderId="18" xfId="0" applyNumberFormat="1" applyFont="1" applyFill="1" applyBorder="1" applyAlignment="1" applyProtection="1">
      <alignment horizontal="right"/>
      <protection locked="0"/>
    </xf>
    <xf numFmtId="177" fontId="49" fillId="34" borderId="12" xfId="0" applyNumberFormat="1" applyFont="1" applyFill="1" applyBorder="1" applyAlignment="1">
      <alignment/>
    </xf>
    <xf numFmtId="178" fontId="49" fillId="34" borderId="12" xfId="0" applyNumberFormat="1" applyFont="1" applyFill="1" applyBorder="1" applyAlignment="1">
      <alignment/>
    </xf>
    <xf numFmtId="179" fontId="49" fillId="34" borderId="12" xfId="0" applyNumberFormat="1" applyFont="1" applyFill="1" applyBorder="1" applyAlignment="1">
      <alignment horizontal="right"/>
    </xf>
    <xf numFmtId="164" fontId="52" fillId="34" borderId="0" xfId="0" applyNumberFormat="1" applyFont="1" applyFill="1" applyBorder="1" applyAlignment="1">
      <alignment horizontal="left"/>
    </xf>
    <xf numFmtId="180" fontId="49" fillId="34" borderId="12" xfId="0" applyNumberFormat="1" applyFont="1" applyFill="1" applyBorder="1" applyAlignment="1">
      <alignment/>
    </xf>
    <xf numFmtId="0" fontId="53" fillId="34" borderId="0" xfId="0" applyFont="1" applyFill="1" applyBorder="1" applyAlignment="1">
      <alignment/>
    </xf>
    <xf numFmtId="181" fontId="49" fillId="35" borderId="18" xfId="0" applyNumberFormat="1" applyFont="1" applyFill="1" applyBorder="1" applyAlignment="1" applyProtection="1">
      <alignment/>
      <protection locked="0"/>
    </xf>
    <xf numFmtId="182" fontId="49" fillId="35" borderId="18" xfId="0" applyNumberFormat="1" applyFont="1" applyFill="1" applyBorder="1" applyAlignment="1" applyProtection="1">
      <alignment/>
      <protection locked="0"/>
    </xf>
    <xf numFmtId="183" fontId="49" fillId="34" borderId="19" xfId="0" applyNumberFormat="1" applyFont="1" applyFill="1" applyBorder="1" applyAlignment="1">
      <alignment/>
    </xf>
    <xf numFmtId="185" fontId="49" fillId="34" borderId="20" xfId="0" applyNumberFormat="1" applyFont="1" applyFill="1" applyBorder="1" applyAlignment="1">
      <alignment/>
    </xf>
    <xf numFmtId="184" fontId="49" fillId="34" borderId="21" xfId="0" applyNumberFormat="1" applyFont="1" applyFill="1" applyBorder="1" applyAlignment="1">
      <alignment/>
    </xf>
    <xf numFmtId="186" fontId="49" fillId="34" borderId="19" xfId="0" applyNumberFormat="1" applyFont="1" applyFill="1" applyBorder="1" applyAlignment="1">
      <alignment/>
    </xf>
    <xf numFmtId="187" fontId="49" fillId="34" borderId="21" xfId="0" applyNumberFormat="1" applyFont="1" applyFill="1" applyBorder="1" applyAlignment="1">
      <alignment/>
    </xf>
    <xf numFmtId="188" fontId="49" fillId="34" borderId="19" xfId="0" applyNumberFormat="1" applyFont="1" applyFill="1" applyBorder="1" applyAlignment="1">
      <alignment/>
    </xf>
    <xf numFmtId="188" fontId="49" fillId="34" borderId="21" xfId="0" applyNumberFormat="1" applyFont="1" applyFill="1" applyBorder="1" applyAlignment="1">
      <alignment/>
    </xf>
    <xf numFmtId="181" fontId="49" fillId="34" borderId="12" xfId="0" applyNumberFormat="1" applyFont="1" applyFill="1" applyBorder="1" applyAlignment="1">
      <alignment/>
    </xf>
    <xf numFmtId="49" fontId="48" fillId="34" borderId="0" xfId="0" applyNumberFormat="1" applyFont="1" applyFill="1" applyBorder="1" applyAlignment="1">
      <alignment horizontal="left"/>
    </xf>
    <xf numFmtId="189" fontId="49" fillId="35" borderId="18" xfId="0" applyNumberFormat="1" applyFont="1" applyFill="1" applyBorder="1" applyAlignment="1" applyProtection="1">
      <alignment/>
      <protection locked="0"/>
    </xf>
    <xf numFmtId="190" fontId="49" fillId="35" borderId="18" xfId="0" applyNumberFormat="1" applyFont="1" applyFill="1" applyBorder="1" applyAlignment="1" applyProtection="1">
      <alignment/>
      <protection locked="0"/>
    </xf>
    <xf numFmtId="191" fontId="49" fillId="35" borderId="18" xfId="0" applyNumberFormat="1" applyFont="1" applyFill="1" applyBorder="1" applyAlignment="1" applyProtection="1">
      <alignment horizontal="right"/>
      <protection locked="0"/>
    </xf>
    <xf numFmtId="197" fontId="49" fillId="35" borderId="18" xfId="0" applyNumberFormat="1" applyFont="1" applyFill="1" applyBorder="1" applyAlignment="1" applyProtection="1">
      <alignment/>
      <protection locked="0"/>
    </xf>
    <xf numFmtId="198" fontId="49" fillId="35" borderId="18" xfId="0" applyNumberFormat="1" applyFont="1" applyFill="1" applyBorder="1" applyAlignment="1" applyProtection="1">
      <alignment/>
      <protection locked="0"/>
    </xf>
    <xf numFmtId="190" fontId="49" fillId="34" borderId="12" xfId="0" applyNumberFormat="1" applyFont="1" applyFill="1" applyBorder="1" applyAlignment="1">
      <alignment/>
    </xf>
    <xf numFmtId="198" fontId="49" fillId="34" borderId="12" xfId="0" applyNumberFormat="1" applyFont="1" applyFill="1" applyBorder="1" applyAlignment="1">
      <alignment wrapText="1"/>
    </xf>
    <xf numFmtId="191" fontId="49" fillId="34" borderId="12" xfId="0" applyNumberFormat="1" applyFont="1" applyFill="1" applyBorder="1" applyAlignment="1">
      <alignment horizontal="right"/>
    </xf>
    <xf numFmtId="189" fontId="49" fillId="34" borderId="12" xfId="0" applyNumberFormat="1" applyFont="1" applyFill="1" applyBorder="1" applyAlignment="1">
      <alignment/>
    </xf>
    <xf numFmtId="202" fontId="49" fillId="34" borderId="12" xfId="0" applyNumberFormat="1" applyFont="1" applyFill="1" applyBorder="1" applyAlignment="1">
      <alignment/>
    </xf>
    <xf numFmtId="202" fontId="49" fillId="35" borderId="18" xfId="0" applyNumberFormat="1" applyFont="1" applyFill="1" applyBorder="1" applyAlignment="1" applyProtection="1">
      <alignment/>
      <protection locked="0"/>
    </xf>
    <xf numFmtId="197" fontId="49" fillId="34" borderId="12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 horizontal="left"/>
    </xf>
    <xf numFmtId="0" fontId="2" fillId="33" borderId="18" xfId="44" applyFont="1" applyFill="1" applyBorder="1" applyAlignment="1" applyProtection="1">
      <alignment horizontal="center" wrapText="1"/>
      <protection/>
    </xf>
    <xf numFmtId="10" fontId="2" fillId="33" borderId="18" xfId="0" applyNumberFormat="1" applyFont="1" applyFill="1" applyBorder="1" applyAlignment="1">
      <alignment horizontal="center"/>
    </xf>
    <xf numFmtId="10" fontId="3" fillId="33" borderId="18" xfId="0" applyNumberFormat="1" applyFont="1" applyFill="1" applyBorder="1" applyAlignment="1">
      <alignment/>
    </xf>
    <xf numFmtId="10" fontId="3" fillId="33" borderId="18" xfId="44" applyNumberFormat="1" applyFont="1" applyFill="1" applyBorder="1" applyAlignment="1" applyProtection="1">
      <alignment horizontal="center" wrapText="1"/>
      <protection/>
    </xf>
    <xf numFmtId="164" fontId="3" fillId="33" borderId="18" xfId="0" applyNumberFormat="1" applyFont="1" applyFill="1" applyBorder="1" applyAlignment="1">
      <alignment horizontal="center"/>
    </xf>
    <xf numFmtId="194" fontId="49" fillId="34" borderId="18" xfId="0" applyNumberFormat="1" applyFont="1" applyFill="1" applyBorder="1" applyAlignment="1">
      <alignment/>
    </xf>
    <xf numFmtId="199" fontId="49" fillId="34" borderId="18" xfId="0" applyNumberFormat="1" applyFont="1" applyFill="1" applyBorder="1" applyAlignment="1">
      <alignment/>
    </xf>
    <xf numFmtId="193" fontId="49" fillId="34" borderId="18" xfId="0" applyNumberFormat="1" applyFont="1" applyFill="1" applyBorder="1" applyAlignment="1">
      <alignment/>
    </xf>
    <xf numFmtId="196" fontId="49" fillId="34" borderId="18" xfId="0" applyNumberFormat="1" applyFont="1" applyFill="1" applyBorder="1" applyAlignment="1">
      <alignment/>
    </xf>
    <xf numFmtId="201" fontId="49" fillId="34" borderId="18" xfId="0" applyNumberFormat="1" applyFont="1" applyFill="1" applyBorder="1" applyAlignment="1">
      <alignment/>
    </xf>
    <xf numFmtId="200" fontId="50" fillId="34" borderId="18" xfId="0" applyNumberFormat="1" applyFont="1" applyFill="1" applyBorder="1" applyAlignment="1">
      <alignment/>
    </xf>
    <xf numFmtId="192" fontId="49" fillId="34" borderId="18" xfId="0" applyNumberFormat="1" applyFont="1" applyFill="1" applyBorder="1" applyAlignment="1">
      <alignment/>
    </xf>
    <xf numFmtId="194" fontId="50" fillId="34" borderId="18" xfId="0" applyNumberFormat="1" applyFont="1" applyFill="1" applyBorder="1" applyAlignment="1">
      <alignment/>
    </xf>
    <xf numFmtId="195" fontId="49" fillId="34" borderId="18" xfId="0" applyNumberFormat="1" applyFont="1" applyFill="1" applyBorder="1" applyAlignment="1">
      <alignment/>
    </xf>
    <xf numFmtId="192" fontId="50" fillId="34" borderId="18" xfId="0" applyNumberFormat="1" applyFont="1" applyFill="1" applyBorder="1" applyAlignment="1">
      <alignment/>
    </xf>
    <xf numFmtId="183" fontId="50" fillId="34" borderId="19" xfId="0" applyNumberFormat="1" applyFont="1" applyFill="1" applyBorder="1" applyAlignment="1">
      <alignment/>
    </xf>
    <xf numFmtId="185" fontId="50" fillId="34" borderId="20" xfId="0" applyNumberFormat="1" applyFont="1" applyFill="1" applyBorder="1" applyAlignment="1">
      <alignment/>
    </xf>
    <xf numFmtId="184" fontId="50" fillId="34" borderId="21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10" fontId="2" fillId="33" borderId="18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54" fillId="0" borderId="22" xfId="0" applyNumberFormat="1" applyFont="1" applyBorder="1" applyAlignment="1">
      <alignment horizontal="center" wrapText="1"/>
    </xf>
    <xf numFmtId="203" fontId="49" fillId="34" borderId="12" xfId="0" applyNumberFormat="1" applyFont="1" applyFill="1" applyBorder="1" applyAlignment="1">
      <alignment/>
    </xf>
    <xf numFmtId="204" fontId="49" fillId="34" borderId="0" xfId="0" applyNumberFormat="1" applyFont="1" applyFill="1" applyBorder="1" applyAlignment="1">
      <alignment/>
    </xf>
    <xf numFmtId="205" fontId="49" fillId="34" borderId="0" xfId="0" applyNumberFormat="1" applyFont="1" applyFill="1" applyBorder="1" applyAlignment="1">
      <alignment/>
    </xf>
    <xf numFmtId="207" fontId="49" fillId="34" borderId="0" xfId="0" applyNumberFormat="1" applyFont="1" applyFill="1" applyBorder="1" applyAlignment="1">
      <alignment/>
    </xf>
    <xf numFmtId="206" fontId="49" fillId="34" borderId="0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left"/>
    </xf>
    <xf numFmtId="0" fontId="4" fillId="0" borderId="18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alto.gov.br/ccivil_03/Leis/LCP/Lcp128.htm" TargetMode="External" /><Relationship Id="rId2" Type="http://schemas.openxmlformats.org/officeDocument/2006/relationships/hyperlink" Target="http://www.planalto.gov.br/ccivil_03/Leis/LCP/Lcp128.htm" TargetMode="External" /><Relationship Id="rId3" Type="http://schemas.openxmlformats.org/officeDocument/2006/relationships/hyperlink" Target="http://www.planalto.gov.br/ccivil_03/Leis/LCP/Lcp128.htm" TargetMode="External" /><Relationship Id="rId4" Type="http://schemas.openxmlformats.org/officeDocument/2006/relationships/hyperlink" Target="http://www.planalto.gov.br/ccivil_03/Leis/LCP/Lcp128.htm" TargetMode="External" /><Relationship Id="rId5" Type="http://schemas.openxmlformats.org/officeDocument/2006/relationships/hyperlink" Target="http://www.planalto.gov.br/ccivil_03/Leis/LCP/Lcp128.htm" TargetMode="External" /><Relationship Id="rId6" Type="http://schemas.openxmlformats.org/officeDocument/2006/relationships/hyperlink" Target="http://www.planalto.gov.br/ccivil_03/Leis/LCP/Lcp128.htm" TargetMode="External" /><Relationship Id="rId7" Type="http://schemas.openxmlformats.org/officeDocument/2006/relationships/hyperlink" Target="http://www.planalto.gov.br/ccivil_03/Leis/LCP/Lcp128.htm" TargetMode="External" /><Relationship Id="rId8" Type="http://schemas.openxmlformats.org/officeDocument/2006/relationships/hyperlink" Target="http://www.planalto.gov.br/ccivil_03/Leis/LCP/Lcp128.htm" TargetMode="External" /><Relationship Id="rId9" Type="http://schemas.openxmlformats.org/officeDocument/2006/relationships/hyperlink" Target="http://www.planalto.gov.br/ccivil_03/Leis/LCP/Lcp128.htm" TargetMode="External" /><Relationship Id="rId10" Type="http://schemas.openxmlformats.org/officeDocument/2006/relationships/hyperlink" Target="http://www.planalto.gov.br/ccivil_03/Leis/LCP/Lcp128.htm" TargetMode="External" /><Relationship Id="rId11" Type="http://schemas.openxmlformats.org/officeDocument/2006/relationships/hyperlink" Target="http://www.planalto.gov.br/ccivil_03/Leis/LCP/Lcp128.htm" TargetMode="External" /><Relationship Id="rId12" Type="http://schemas.openxmlformats.org/officeDocument/2006/relationships/hyperlink" Target="http://www.planalto.gov.br/ccivil_03/Leis/LCP/Lcp128.htm" TargetMode="External" /><Relationship Id="rId13" Type="http://schemas.openxmlformats.org/officeDocument/2006/relationships/hyperlink" Target="http://www.planalto.gov.br/ccivil_03/Leis/LCP/Lcp128.htm" TargetMode="External" /><Relationship Id="rId14" Type="http://schemas.openxmlformats.org/officeDocument/2006/relationships/hyperlink" Target="http://www.planalto.gov.br/ccivil_03/Leis/LCP/Lcp128.htm" TargetMode="External" /><Relationship Id="rId15" Type="http://schemas.openxmlformats.org/officeDocument/2006/relationships/hyperlink" Target="http://www.planalto.gov.br/ccivil_03/Leis/LCP/Lcp128.htm" TargetMode="External" /><Relationship Id="rId16" Type="http://schemas.openxmlformats.org/officeDocument/2006/relationships/hyperlink" Target="http://www.planalto.gov.br/ccivil_03/Leis/LCP/Lcp128.htm" TargetMode="External" /><Relationship Id="rId17" Type="http://schemas.openxmlformats.org/officeDocument/2006/relationships/hyperlink" Target="http://www.planalto.gov.br/ccivil_03/Leis/LCP/Lcp128.htm" TargetMode="External" /><Relationship Id="rId18" Type="http://schemas.openxmlformats.org/officeDocument/2006/relationships/hyperlink" Target="http://www.planalto.gov.br/ccivil_03/Leis/LCP/Lcp128.htm" TargetMode="External" /><Relationship Id="rId19" Type="http://schemas.openxmlformats.org/officeDocument/2006/relationships/hyperlink" Target="http://www.planalto.gov.br/ccivil_03/Leis/LCP/Lcp128.htm" TargetMode="External" /><Relationship Id="rId20" Type="http://schemas.openxmlformats.org/officeDocument/2006/relationships/hyperlink" Target="http://www.planalto.gov.br/ccivil_03/Leis/LCP/Lcp128.htm" TargetMode="External" /><Relationship Id="rId21" Type="http://schemas.openxmlformats.org/officeDocument/2006/relationships/hyperlink" Target="http://www.planalto.gov.br/ccivil_03/Leis/LCP/Lcp128.htm" TargetMode="External" /><Relationship Id="rId22" Type="http://schemas.openxmlformats.org/officeDocument/2006/relationships/hyperlink" Target="http://www.planalto.gov.br/ccivil_03/Leis/LCP/Lcp128.htm" TargetMode="External" /><Relationship Id="rId23" Type="http://schemas.openxmlformats.org/officeDocument/2006/relationships/hyperlink" Target="http://www.planalto.gov.br/ccivil_03/Leis/LCP/Lcp128.htm" TargetMode="External" /><Relationship Id="rId24" Type="http://schemas.openxmlformats.org/officeDocument/2006/relationships/hyperlink" Target="http://www.planalto.gov.br/ccivil_03/Leis/LCP/Lcp128.htm" TargetMode="External" /><Relationship Id="rId25" Type="http://schemas.openxmlformats.org/officeDocument/2006/relationships/hyperlink" Target="http://www.planalto.gov.br/ccivil_03/Leis/LCP/Lcp128.htm" TargetMode="External" /><Relationship Id="rId26" Type="http://schemas.openxmlformats.org/officeDocument/2006/relationships/hyperlink" Target="http://www.planalto.gov.br/ccivil_03/Leis/LCP/Lcp128.htm" TargetMode="External" /><Relationship Id="rId27" Type="http://schemas.openxmlformats.org/officeDocument/2006/relationships/hyperlink" Target="http://www.planalto.gov.br/ccivil_03/Leis/LCP/Lcp128.htm" TargetMode="External" /><Relationship Id="rId28" Type="http://schemas.openxmlformats.org/officeDocument/2006/relationships/hyperlink" Target="http://www.planalto.gov.br/ccivil_03/Leis/LCP/Lcp128.htm" TargetMode="External" /><Relationship Id="rId29" Type="http://schemas.openxmlformats.org/officeDocument/2006/relationships/hyperlink" Target="http://www.planalto.gov.br/ccivil_03/Leis/LCP/Lcp128.htm" TargetMode="External" /><Relationship Id="rId30" Type="http://schemas.openxmlformats.org/officeDocument/2006/relationships/hyperlink" Target="http://www.planalto.gov.br/ccivil_03/Leis/LCP/Lcp128.htm" TargetMode="External" /><Relationship Id="rId31" Type="http://schemas.openxmlformats.org/officeDocument/2006/relationships/hyperlink" Target="http://www.planalto.gov.br/ccivil_03/Leis/LCP/Lcp128.htm" TargetMode="External" /><Relationship Id="rId32" Type="http://schemas.openxmlformats.org/officeDocument/2006/relationships/hyperlink" Target="http://www.planalto.gov.br/ccivil_03/Leis/LCP/Lcp128.htm" TargetMode="External" /><Relationship Id="rId33" Type="http://schemas.openxmlformats.org/officeDocument/2006/relationships/hyperlink" Target="http://www.planalto.gov.br/ccivil_03/Leis/LCP/Lcp128.htm" TargetMode="External" /><Relationship Id="rId34" Type="http://schemas.openxmlformats.org/officeDocument/2006/relationships/hyperlink" Target="http://www.planalto.gov.br/ccivil_03/Leis/LCP/Lcp128.htm" TargetMode="External" /><Relationship Id="rId35" Type="http://schemas.openxmlformats.org/officeDocument/2006/relationships/hyperlink" Target="http://www.planalto.gov.br/ccivil_03/Leis/LCP/Lcp128.htm" TargetMode="External" /><Relationship Id="rId36" Type="http://schemas.openxmlformats.org/officeDocument/2006/relationships/hyperlink" Target="http://www.planalto.gov.br/ccivil_03/Leis/LCP/Lcp128.htm" TargetMode="External" /><Relationship Id="rId37" Type="http://schemas.openxmlformats.org/officeDocument/2006/relationships/hyperlink" Target="http://www.planalto.gov.br/ccivil_03/Leis/LCP/Lcp128.htm" TargetMode="External" /><Relationship Id="rId38" Type="http://schemas.openxmlformats.org/officeDocument/2006/relationships/hyperlink" Target="http://www.planalto.gov.br/ccivil_03/Leis/LCP/Lcp128.htm" TargetMode="External" /><Relationship Id="rId39" Type="http://schemas.openxmlformats.org/officeDocument/2006/relationships/hyperlink" Target="http://www.planalto.gov.br/ccivil_03/Leis/LCP/Lcp128.htm" TargetMode="External" /><Relationship Id="rId40" Type="http://schemas.openxmlformats.org/officeDocument/2006/relationships/hyperlink" Target="http://www.planalto.gov.br/ccivil_03/Leis/LCP/Lcp128.htm" TargetMode="External" /><Relationship Id="rId41" Type="http://schemas.openxmlformats.org/officeDocument/2006/relationships/hyperlink" Target="http://www.planalto.gov.br/ccivil_03/Leis/LCP/Lcp128.htm" TargetMode="External" /><Relationship Id="rId42" Type="http://schemas.openxmlformats.org/officeDocument/2006/relationships/hyperlink" Target="http://www.planalto.gov.br/ccivil_03/Leis/LCP/Lcp128.htm" TargetMode="External" /><Relationship Id="rId43" Type="http://schemas.openxmlformats.org/officeDocument/2006/relationships/hyperlink" Target="http://www.planalto.gov.br/ccivil_03/Leis/LCP/Lcp128.htm" TargetMode="External" /><Relationship Id="rId44" Type="http://schemas.openxmlformats.org/officeDocument/2006/relationships/hyperlink" Target="http://www.planalto.gov.br/ccivil_03/Leis/LCP/Lcp128.htm" TargetMode="External" /><Relationship Id="rId45" Type="http://schemas.openxmlformats.org/officeDocument/2006/relationships/hyperlink" Target="http://www.planalto.gov.br/ccivil_03/Leis/LCP/Lcp128.htm" TargetMode="External" /><Relationship Id="rId46" Type="http://schemas.openxmlformats.org/officeDocument/2006/relationships/hyperlink" Target="http://www.planalto.gov.br/ccivil_03/Leis/LCP/Lcp128.htm" TargetMode="External" /><Relationship Id="rId47" Type="http://schemas.openxmlformats.org/officeDocument/2006/relationships/hyperlink" Target="http://www.planalto.gov.br/ccivil_03/Leis/LCP/Lcp128.htm" TargetMode="External" /><Relationship Id="rId48" Type="http://schemas.openxmlformats.org/officeDocument/2006/relationships/hyperlink" Target="http://www.planalto.gov.br/ccivil_03/Leis/LCP/Lcp128.htm" TargetMode="External" /><Relationship Id="rId49" Type="http://schemas.openxmlformats.org/officeDocument/2006/relationships/hyperlink" Target="http://www.planalto.gov.br/ccivil_03/Leis/LCP/Lcp128.htm" TargetMode="External" /><Relationship Id="rId50" Type="http://schemas.openxmlformats.org/officeDocument/2006/relationships/hyperlink" Target="http://www.planalto.gov.br/ccivil_03/Leis/LCP/Lcp128.htm" TargetMode="External" /><Relationship Id="rId51" Type="http://schemas.openxmlformats.org/officeDocument/2006/relationships/hyperlink" Target="http://www.planalto.gov.br/ccivil_03/Leis/LCP/Lcp128.htm" TargetMode="External" /><Relationship Id="rId52" Type="http://schemas.openxmlformats.org/officeDocument/2006/relationships/hyperlink" Target="http://www.planalto.gov.br/ccivil_03/Leis/LCP/Lcp128.htm" TargetMode="External" /><Relationship Id="rId53" Type="http://schemas.openxmlformats.org/officeDocument/2006/relationships/hyperlink" Target="http://www.planalto.gov.br/ccivil_03/Leis/LCP/Lcp128.htm" TargetMode="External" /><Relationship Id="rId54" Type="http://schemas.openxmlformats.org/officeDocument/2006/relationships/hyperlink" Target="http://www.planalto.gov.br/ccivil_03/Leis/LCP/Lcp128.htm" TargetMode="External" /><Relationship Id="rId55" Type="http://schemas.openxmlformats.org/officeDocument/2006/relationships/hyperlink" Target="http://www.planalto.gov.br/ccivil_03/Leis/LCP/Lcp128.htm" TargetMode="External" /><Relationship Id="rId56" Type="http://schemas.openxmlformats.org/officeDocument/2006/relationships/hyperlink" Target="http://www.planalto.gov.br/ccivil_03/Leis/LCP/Lcp128.htm" TargetMode="External" /><Relationship Id="rId57" Type="http://schemas.openxmlformats.org/officeDocument/2006/relationships/hyperlink" Target="http://www.planalto.gov.br/ccivil_03/Leis/LCP/Lcp128.htm" TargetMode="External" /><Relationship Id="rId58" Type="http://schemas.openxmlformats.org/officeDocument/2006/relationships/hyperlink" Target="http://www.planalto.gov.br/ccivil_03/Leis/LCP/Lcp128.htm" TargetMode="External" /><Relationship Id="rId59" Type="http://schemas.openxmlformats.org/officeDocument/2006/relationships/hyperlink" Target="http://www.planalto.gov.br/ccivil_03/Leis/LCP/Lcp128.htm" TargetMode="External" /><Relationship Id="rId60" Type="http://schemas.openxmlformats.org/officeDocument/2006/relationships/hyperlink" Target="http://www.planalto.gov.br/ccivil_03/Leis/LCP/Lcp128.htm" TargetMode="External" /><Relationship Id="rId61" Type="http://schemas.openxmlformats.org/officeDocument/2006/relationships/hyperlink" Target="http://www.planalto.gov.br/ccivil_03/Leis/LCP/Lcp128.htm" TargetMode="External" /><Relationship Id="rId62" Type="http://schemas.openxmlformats.org/officeDocument/2006/relationships/hyperlink" Target="http://www.planalto.gov.br/ccivil_03/Leis/LCP/Lcp128.htm" TargetMode="External" /><Relationship Id="rId63" Type="http://schemas.openxmlformats.org/officeDocument/2006/relationships/hyperlink" Target="http://www.planalto.gov.br/ccivil_03/Leis/LCP/Lcp128.htm" TargetMode="External" /><Relationship Id="rId64" Type="http://schemas.openxmlformats.org/officeDocument/2006/relationships/hyperlink" Target="http://www.planalto.gov.br/ccivil_03/Leis/LCP/Lcp128.htm" TargetMode="External" /><Relationship Id="rId65" Type="http://schemas.openxmlformats.org/officeDocument/2006/relationships/hyperlink" Target="http://www.planalto.gov.br/ccivil_03/Leis/LCP/Lcp128.htm" TargetMode="External" /><Relationship Id="rId66" Type="http://schemas.openxmlformats.org/officeDocument/2006/relationships/hyperlink" Target="http://www.planalto.gov.br/ccivil_03/Leis/LCP/Lcp128.htm" TargetMode="External" /><Relationship Id="rId67" Type="http://schemas.openxmlformats.org/officeDocument/2006/relationships/hyperlink" Target="http://www.planalto.gov.br/ccivil_03/Leis/LCP/Lcp128.htm" TargetMode="External" /><Relationship Id="rId68" Type="http://schemas.openxmlformats.org/officeDocument/2006/relationships/hyperlink" Target="http://www.planalto.gov.br/ccivil_03/Leis/LCP/Lcp128.htm" TargetMode="External" /><Relationship Id="rId69" Type="http://schemas.openxmlformats.org/officeDocument/2006/relationships/hyperlink" Target="http://www.planalto.gov.br/ccivil_03/Leis/LCP/Lcp128.htm" TargetMode="External" /><Relationship Id="rId70" Type="http://schemas.openxmlformats.org/officeDocument/2006/relationships/hyperlink" Target="http://www.planalto.gov.br/ccivil_03/Leis/LCP/Lcp128.htm" TargetMode="External" /><Relationship Id="rId71" Type="http://schemas.openxmlformats.org/officeDocument/2006/relationships/hyperlink" Target="http://www.planalto.gov.br/ccivil_03/Leis/LCP/Lcp128.htm" TargetMode="External" /><Relationship Id="rId72" Type="http://schemas.openxmlformats.org/officeDocument/2006/relationships/hyperlink" Target="http://www.planalto.gov.br/ccivil_03/Leis/LCP/Lcp128.htm" TargetMode="External" /><Relationship Id="rId73" Type="http://schemas.openxmlformats.org/officeDocument/2006/relationships/hyperlink" Target="http://www.planalto.gov.br/ccivil_03/Leis/LCP/Lcp128.htm" TargetMode="External" /><Relationship Id="rId74" Type="http://schemas.openxmlformats.org/officeDocument/2006/relationships/hyperlink" Target="http://www.planalto.gov.br/ccivil_03/Leis/LCP/Lcp128.htm" TargetMode="External" /><Relationship Id="rId75" Type="http://schemas.openxmlformats.org/officeDocument/2006/relationships/hyperlink" Target="http://www.planalto.gov.br/ccivil_03/Leis/LCP/Lcp128.htm" TargetMode="External" /><Relationship Id="rId76" Type="http://schemas.openxmlformats.org/officeDocument/2006/relationships/hyperlink" Target="http://www.planalto.gov.br/ccivil_03/Leis/LCP/Lcp128.htm" TargetMode="External" /><Relationship Id="rId77" Type="http://schemas.openxmlformats.org/officeDocument/2006/relationships/hyperlink" Target="http://www.planalto.gov.br/ccivil_03/Leis/LCP/Lcp128.htm" TargetMode="External" /><Relationship Id="rId78" Type="http://schemas.openxmlformats.org/officeDocument/2006/relationships/hyperlink" Target="http://www.planalto.gov.br/ccivil_03/Leis/LCP/Lcp128.htm" TargetMode="External" /><Relationship Id="rId79" Type="http://schemas.openxmlformats.org/officeDocument/2006/relationships/hyperlink" Target="http://www.planalto.gov.br/ccivil_03/Leis/LCP/Lcp128.htm" TargetMode="External" /><Relationship Id="rId80" Type="http://schemas.openxmlformats.org/officeDocument/2006/relationships/hyperlink" Target="http://www.planalto.gov.br/ccivil_03/Leis/LCP/Lcp128.htm" TargetMode="External" /><Relationship Id="rId81" Type="http://schemas.openxmlformats.org/officeDocument/2006/relationships/hyperlink" Target="http://www.planalto.gov.br/ccivil_03/Leis/LCP/Lcp128.htm" TargetMode="External" /><Relationship Id="rId82" Type="http://schemas.openxmlformats.org/officeDocument/2006/relationships/hyperlink" Target="http://www.planalto.gov.br/ccivil_03/Leis/LCP/Lcp128.htm" TargetMode="External" /><Relationship Id="rId83" Type="http://schemas.openxmlformats.org/officeDocument/2006/relationships/hyperlink" Target="http://www.planalto.gov.br/ccivil_03/Leis/LCP/Lcp128.htm" TargetMode="External" /><Relationship Id="rId84" Type="http://schemas.openxmlformats.org/officeDocument/2006/relationships/hyperlink" Target="http://www.planalto.gov.br/ccivil_03/Leis/LCP/Lcp128.htm" TargetMode="External" /><Relationship Id="rId85" Type="http://schemas.openxmlformats.org/officeDocument/2006/relationships/hyperlink" Target="http://www.planalto.gov.br/ccivil_03/Leis/LCP/Lcp128.htm" TargetMode="External" /><Relationship Id="rId86" Type="http://schemas.openxmlformats.org/officeDocument/2006/relationships/hyperlink" Target="http://www.planalto.gov.br/ccivil_03/Leis/LCP/Lcp128.htm" TargetMode="External" /><Relationship Id="rId87" Type="http://schemas.openxmlformats.org/officeDocument/2006/relationships/hyperlink" Target="http://www.planalto.gov.br/ccivil_03/Leis/LCP/Lcp128.htm" TargetMode="External" /><Relationship Id="rId88" Type="http://schemas.openxmlformats.org/officeDocument/2006/relationships/hyperlink" Target="http://www.planalto.gov.br/ccivil_03/Leis/LCP/Lcp128.htm" TargetMode="External" /><Relationship Id="rId89" Type="http://schemas.openxmlformats.org/officeDocument/2006/relationships/hyperlink" Target="http://www.planalto.gov.br/ccivil_03/Leis/LCP/Lcp128.htm" TargetMode="External" /><Relationship Id="rId90" Type="http://schemas.openxmlformats.org/officeDocument/2006/relationships/hyperlink" Target="http://www.planalto.gov.br/ccivil_03/Leis/LCP/Lcp128.htm" TargetMode="External" /><Relationship Id="rId91" Type="http://schemas.openxmlformats.org/officeDocument/2006/relationships/hyperlink" Target="http://www.planalto.gov.br/ccivil_03/Leis/LCP/Lcp128.htm" TargetMode="External" /><Relationship Id="rId92" Type="http://schemas.openxmlformats.org/officeDocument/2006/relationships/hyperlink" Target="http://www.planalto.gov.br/ccivil_03/Leis/LCP/Lcp128.htm" TargetMode="External" /><Relationship Id="rId93" Type="http://schemas.openxmlformats.org/officeDocument/2006/relationships/hyperlink" Target="http://www.planalto.gov.br/ccivil_03/Leis/LCP/Lcp128.htm" TargetMode="External" /><Relationship Id="rId94" Type="http://schemas.openxmlformats.org/officeDocument/2006/relationships/hyperlink" Target="http://www.planalto.gov.br/ccivil_03/Leis/LCP/Lcp128.htm" TargetMode="External" /><Relationship Id="rId95" Type="http://schemas.openxmlformats.org/officeDocument/2006/relationships/hyperlink" Target="http://www.planalto.gov.br/ccivil_03/Leis/LCP/Lcp128.htm" TargetMode="External" /><Relationship Id="rId96" Type="http://schemas.openxmlformats.org/officeDocument/2006/relationships/hyperlink" Target="http://www.planalto.gov.br/ccivil_03/Leis/LCP/Lcp128.htm" TargetMode="External" /><Relationship Id="rId97" Type="http://schemas.openxmlformats.org/officeDocument/2006/relationships/hyperlink" Target="http://www.planalto.gov.br/ccivil_03/Leis/LCP/Lcp128.htm" TargetMode="External" /><Relationship Id="rId98" Type="http://schemas.openxmlformats.org/officeDocument/2006/relationships/hyperlink" Target="http://www.planalto.gov.br/ccivil_03/Leis/LCP/Lcp128.htm" TargetMode="External" /><Relationship Id="rId99" Type="http://schemas.openxmlformats.org/officeDocument/2006/relationships/hyperlink" Target="http://www.planalto.gov.br/ccivil_03/Leis/LCP/Lcp128.htm" TargetMode="External" /><Relationship Id="rId100" Type="http://schemas.openxmlformats.org/officeDocument/2006/relationships/hyperlink" Target="http://www.planalto.gov.br/ccivil_03/Leis/LCP/Lcp128.htm" TargetMode="External" /><Relationship Id="rId101" Type="http://schemas.openxmlformats.org/officeDocument/2006/relationships/hyperlink" Target="http://www.planalto.gov.br/ccivil_03/Leis/LCP/Lcp128.htm" TargetMode="External" /><Relationship Id="rId102" Type="http://schemas.openxmlformats.org/officeDocument/2006/relationships/hyperlink" Target="http://www.planalto.gov.br/ccivil_03/Leis/LCP/Lcp128.htm" TargetMode="External" /><Relationship Id="rId103" Type="http://schemas.openxmlformats.org/officeDocument/2006/relationships/hyperlink" Target="http://www.planalto.gov.br/ccivil_03/Leis/LCP/Lcp128.htm" TargetMode="External" /><Relationship Id="rId104" Type="http://schemas.openxmlformats.org/officeDocument/2006/relationships/hyperlink" Target="http://www.planalto.gov.br/ccivil_03/Leis/LCP/Lcp128.htm" TargetMode="External" /><Relationship Id="rId105" Type="http://schemas.openxmlformats.org/officeDocument/2006/relationships/hyperlink" Target="http://www.planalto.gov.br/ccivil_03/Leis/LCP/Lcp128.htm" TargetMode="External" /><Relationship Id="rId106" Type="http://schemas.openxmlformats.org/officeDocument/2006/relationships/hyperlink" Target="http://www.planalto.gov.br/ccivil_03/Leis/LCP/Lcp128.htm" TargetMode="External" /><Relationship Id="rId107" Type="http://schemas.openxmlformats.org/officeDocument/2006/relationships/hyperlink" Target="http://www.planalto.gov.br/ccivil_03/Leis/LCP/Lcp128.htm" TargetMode="External" /><Relationship Id="rId108" Type="http://schemas.openxmlformats.org/officeDocument/2006/relationships/hyperlink" Target="http://www.planalto.gov.br/ccivil_03/Leis/LCP/Lcp128.htm" TargetMode="External" /><Relationship Id="rId109" Type="http://schemas.openxmlformats.org/officeDocument/2006/relationships/hyperlink" Target="http://www.planalto.gov.br/ccivil_03/Leis/LCP/Lcp128.htm" TargetMode="External" /><Relationship Id="rId110" Type="http://schemas.openxmlformats.org/officeDocument/2006/relationships/hyperlink" Target="http://www.planalto.gov.br/ccivil_03/Leis/LCP/Lcp128.htm" TargetMode="External" /><Relationship Id="rId111" Type="http://schemas.openxmlformats.org/officeDocument/2006/relationships/hyperlink" Target="http://www.planalto.gov.br/ccivil_03/Leis/LCP/Lcp128.htm" TargetMode="External" /><Relationship Id="rId112" Type="http://schemas.openxmlformats.org/officeDocument/2006/relationships/hyperlink" Target="http://www.planalto.gov.br/ccivil_03/Leis/LCP/Lcp128.htm" TargetMode="External" /><Relationship Id="rId113" Type="http://schemas.openxmlformats.org/officeDocument/2006/relationships/hyperlink" Target="http://www.planalto.gov.br/ccivil_03/Leis/LCP/Lcp128.htm" TargetMode="External" /><Relationship Id="rId114" Type="http://schemas.openxmlformats.org/officeDocument/2006/relationships/hyperlink" Target="http://www.planalto.gov.br/ccivil_03/Leis/LCP/Lcp128.htm" TargetMode="External" /><Relationship Id="rId115" Type="http://schemas.openxmlformats.org/officeDocument/2006/relationships/hyperlink" Target="http://www.planalto.gov.br/ccivil_03/Leis/LCP/Lcp128.htm" TargetMode="External" /><Relationship Id="rId116" Type="http://schemas.openxmlformats.org/officeDocument/2006/relationships/hyperlink" Target="http://www.planalto.gov.br/ccivil_03/Leis/LCP/Lcp128.htm" TargetMode="External" /><Relationship Id="rId117" Type="http://schemas.openxmlformats.org/officeDocument/2006/relationships/hyperlink" Target="http://www.planalto.gov.br/ccivil_03/Leis/LCP/Lcp128.htm" TargetMode="External" /><Relationship Id="rId118" Type="http://schemas.openxmlformats.org/officeDocument/2006/relationships/hyperlink" Target="http://www.planalto.gov.br/ccivil_03/Leis/LCP/Lcp128.htm" TargetMode="External" /><Relationship Id="rId119" Type="http://schemas.openxmlformats.org/officeDocument/2006/relationships/hyperlink" Target="http://www.planalto.gov.br/ccivil_03/Leis/LCP/Lcp128.htm" TargetMode="External" /><Relationship Id="rId120" Type="http://schemas.openxmlformats.org/officeDocument/2006/relationships/hyperlink" Target="http://www.planalto.gov.br/ccivil_03/Leis/LCP/Lcp128.htm" TargetMode="External" /><Relationship Id="rId121" Type="http://schemas.openxmlformats.org/officeDocument/2006/relationships/hyperlink" Target="http://www.planalto.gov.br/ccivil_03/Leis/LCP/Lcp128.htm" TargetMode="External" /><Relationship Id="rId122" Type="http://schemas.openxmlformats.org/officeDocument/2006/relationships/hyperlink" Target="http://www.planalto.gov.br/ccivil_03/Leis/LCP/Lcp128.htm" TargetMode="External" /><Relationship Id="rId123" Type="http://schemas.openxmlformats.org/officeDocument/2006/relationships/hyperlink" Target="http://www.planalto.gov.br/ccivil_03/Leis/LCP/Lcp128.htm" TargetMode="External" /><Relationship Id="rId124" Type="http://schemas.openxmlformats.org/officeDocument/2006/relationships/hyperlink" Target="http://www.planalto.gov.br/ccivil_03/Leis/LCP/Lcp128.htm" TargetMode="External" /><Relationship Id="rId125" Type="http://schemas.openxmlformats.org/officeDocument/2006/relationships/hyperlink" Target="http://www.planalto.gov.br/ccivil_03/Leis/LCP/Lcp128.htm" TargetMode="External" /><Relationship Id="rId126" Type="http://schemas.openxmlformats.org/officeDocument/2006/relationships/hyperlink" Target="http://www.planalto.gov.br/ccivil_03/Leis/LCP/Lcp128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alto.gov.br/ccivil_03/Leis/LCP/Lcp128.htm" TargetMode="External" /><Relationship Id="rId2" Type="http://schemas.openxmlformats.org/officeDocument/2006/relationships/hyperlink" Target="http://www.planalto.gov.br/ccivil_03/Leis/LCP/Lcp128.htm" TargetMode="External" /><Relationship Id="rId3" Type="http://schemas.openxmlformats.org/officeDocument/2006/relationships/hyperlink" Target="http://www.planalto.gov.br/ccivil_03/Leis/LCP/Lcp128.htm" TargetMode="External" /><Relationship Id="rId4" Type="http://schemas.openxmlformats.org/officeDocument/2006/relationships/hyperlink" Target="http://www.planalto.gov.br/ccivil_03/Leis/LCP/Lcp128.htm" TargetMode="External" /><Relationship Id="rId5" Type="http://schemas.openxmlformats.org/officeDocument/2006/relationships/hyperlink" Target="http://www.planalto.gov.br/ccivil_03/Leis/LCP/Lcp128.htm" TargetMode="Externa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alto.gov.br/ccivil_03/Leis/LCP/Lcp128.htm" TargetMode="External" /><Relationship Id="rId2" Type="http://schemas.openxmlformats.org/officeDocument/2006/relationships/hyperlink" Target="http://www.planalto.gov.br/ccivil_03/Leis/LCP/Lcp128.htm" TargetMode="External" /><Relationship Id="rId3" Type="http://schemas.openxmlformats.org/officeDocument/2006/relationships/hyperlink" Target="http://www.planalto.gov.br/ccivil_03/Leis/LCP/Lcp128.htm" TargetMode="External" /><Relationship Id="rId4" Type="http://schemas.openxmlformats.org/officeDocument/2006/relationships/hyperlink" Target="http://www.planalto.gov.br/ccivil_03/Leis/LCP/Lcp128.htm" TargetMode="External" /><Relationship Id="rId5" Type="http://schemas.openxmlformats.org/officeDocument/2006/relationships/hyperlink" Target="http://www.planalto.gov.br/ccivil_03/Leis/LCP/Lcp128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="88" zoomScaleNormal="88" zoomScaleSheetLayoutView="100" workbookViewId="0" topLeftCell="A1">
      <selection activeCell="F4" sqref="F4"/>
    </sheetView>
  </sheetViews>
  <sheetFormatPr defaultColWidth="9.140625" defaultRowHeight="15" customHeight="1"/>
  <cols>
    <col min="1" max="1" width="2.7109375" style="10" customWidth="1"/>
    <col min="2" max="2" width="3.140625" style="12" customWidth="1"/>
    <col min="3" max="3" width="45.57421875" style="10" customWidth="1"/>
    <col min="4" max="4" width="16.00390625" style="11" bestFit="1" customWidth="1"/>
    <col min="5" max="5" width="2.421875" style="12" customWidth="1"/>
    <col min="6" max="6" width="47.7109375" style="10" customWidth="1"/>
    <col min="7" max="7" width="14.28125" style="10" bestFit="1" customWidth="1"/>
    <col min="8" max="8" width="2.421875" style="10" customWidth="1"/>
    <col min="9" max="9" width="47.140625" style="10" customWidth="1"/>
    <col min="10" max="10" width="16.00390625" style="10" bestFit="1" customWidth="1"/>
    <col min="11" max="11" width="39.7109375" style="10" bestFit="1" customWidth="1"/>
    <col min="12" max="16384" width="9.140625" style="10" customWidth="1"/>
  </cols>
  <sheetData>
    <row r="1" spans="3:4" ht="26.25" customHeight="1">
      <c r="C1" s="41" t="s">
        <v>25</v>
      </c>
      <c r="D1" s="10"/>
    </row>
    <row r="3" spans="2:10" ht="15" customHeight="1">
      <c r="B3" s="69" t="s">
        <v>40</v>
      </c>
      <c r="I3" s="10" t="s">
        <v>39</v>
      </c>
      <c r="J3" s="58"/>
    </row>
    <row r="5" spans="2:10" ht="15" customHeight="1">
      <c r="B5" s="32"/>
      <c r="C5" s="33" t="s">
        <v>14</v>
      </c>
      <c r="D5" s="34"/>
      <c r="F5" s="18" t="s">
        <v>15</v>
      </c>
      <c r="G5" s="19"/>
      <c r="I5" s="18" t="s">
        <v>16</v>
      </c>
      <c r="J5" s="19"/>
    </row>
    <row r="6" spans="2:10" ht="15" customHeight="1">
      <c r="B6" s="35"/>
      <c r="D6" s="22"/>
      <c r="F6" s="20"/>
      <c r="G6" s="21"/>
      <c r="I6" s="20"/>
      <c r="J6" s="21"/>
    </row>
    <row r="7" spans="2:10" ht="15" customHeight="1">
      <c r="B7" s="35"/>
      <c r="C7" s="10" t="s">
        <v>41</v>
      </c>
      <c r="D7" s="42">
        <v>200000</v>
      </c>
      <c r="F7" s="20" t="s">
        <v>41</v>
      </c>
      <c r="G7" s="22">
        <f>D7</f>
        <v>200000</v>
      </c>
      <c r="I7" s="20" t="s">
        <v>50</v>
      </c>
      <c r="J7" s="22">
        <f>G7</f>
        <v>200000</v>
      </c>
    </row>
    <row r="8" spans="2:10" ht="15" customHeight="1">
      <c r="B8" s="35"/>
      <c r="C8" s="80">
        <v>0.18</v>
      </c>
      <c r="D8" s="22">
        <f>(D7*C8)</f>
        <v>36000</v>
      </c>
      <c r="F8" s="79">
        <f>C8</f>
        <v>0.18</v>
      </c>
      <c r="G8" s="22">
        <f>D8</f>
        <v>36000</v>
      </c>
      <c r="I8" s="20" t="s">
        <v>42</v>
      </c>
      <c r="J8" s="22">
        <f>G7*12</f>
        <v>2400000</v>
      </c>
    </row>
    <row r="9" spans="2:10" ht="15" customHeight="1">
      <c r="B9" s="35"/>
      <c r="C9" s="73">
        <v>0.18</v>
      </c>
      <c r="D9" s="22">
        <f>(D13*C9)</f>
        <v>18000</v>
      </c>
      <c r="F9" s="81">
        <f>C9</f>
        <v>0.18</v>
      </c>
      <c r="G9" s="22">
        <f>D9</f>
        <v>18000</v>
      </c>
      <c r="I9" s="20"/>
      <c r="J9" s="22"/>
    </row>
    <row r="10" spans="2:10" ht="15" customHeight="1">
      <c r="B10" s="35"/>
      <c r="C10" s="109">
        <v>0.0165</v>
      </c>
      <c r="D10" s="22">
        <f>(D7*C10)-((D7*C13)*C10)</f>
        <v>1650</v>
      </c>
      <c r="F10" s="23">
        <v>0.0065</v>
      </c>
      <c r="G10" s="22">
        <f>G7*F10</f>
        <v>1300</v>
      </c>
      <c r="I10" s="45" t="s">
        <v>29</v>
      </c>
      <c r="J10" s="22">
        <f>IF(I10="Substituição Tributária",G8-G9,0)</f>
        <v>0</v>
      </c>
    </row>
    <row r="11" spans="2:10" ht="15" customHeight="1">
      <c r="B11" s="35"/>
      <c r="C11" s="110">
        <v>0.076</v>
      </c>
      <c r="D11" s="22">
        <f>(D7*C11)-((D7*C13)*C11)</f>
        <v>7600</v>
      </c>
      <c r="F11" s="24">
        <v>0.03</v>
      </c>
      <c r="G11" s="22">
        <f>G7*F11</f>
        <v>6000</v>
      </c>
      <c r="I11" s="20"/>
      <c r="J11" s="21"/>
    </row>
    <row r="12" spans="2:10" ht="15" customHeight="1">
      <c r="B12" s="35" t="s">
        <v>1</v>
      </c>
      <c r="C12" s="10" t="s">
        <v>5</v>
      </c>
      <c r="D12" s="22">
        <f>D7-D8+D9-D10-D11</f>
        <v>172750</v>
      </c>
      <c r="F12" s="20" t="s">
        <v>5</v>
      </c>
      <c r="G12" s="22">
        <f>G7-G8+G9-G10-G11</f>
        <v>174700</v>
      </c>
      <c r="I12" s="20"/>
      <c r="J12" s="21"/>
    </row>
    <row r="13" spans="2:10" ht="15" customHeight="1">
      <c r="B13" s="35" t="s">
        <v>0</v>
      </c>
      <c r="C13" s="70">
        <v>0.5</v>
      </c>
      <c r="D13" s="22">
        <f>D7*C13</f>
        <v>100000</v>
      </c>
      <c r="F13" s="78">
        <f>C13</f>
        <v>0.5</v>
      </c>
      <c r="G13" s="22">
        <f>G7*F13</f>
        <v>100000</v>
      </c>
      <c r="I13" s="78">
        <f>C13</f>
        <v>0.5</v>
      </c>
      <c r="J13" s="22">
        <f>J7*I13</f>
        <v>100000</v>
      </c>
    </row>
    <row r="14" spans="2:10" ht="15" customHeight="1">
      <c r="B14" s="35" t="s">
        <v>1</v>
      </c>
      <c r="C14" s="10" t="s">
        <v>27</v>
      </c>
      <c r="D14" s="22">
        <f>D12-D13</f>
        <v>72750</v>
      </c>
      <c r="F14" s="20" t="str">
        <f>C14</f>
        <v>Margem Bruta</v>
      </c>
      <c r="G14" s="22">
        <f>G12-G13</f>
        <v>74700</v>
      </c>
      <c r="I14" s="20"/>
      <c r="J14" s="21"/>
    </row>
    <row r="15" spans="2:10" ht="15" customHeight="1">
      <c r="B15" s="35" t="s">
        <v>0</v>
      </c>
      <c r="C15" s="71">
        <v>0.1</v>
      </c>
      <c r="D15" s="22">
        <f>D7*C15</f>
        <v>20000</v>
      </c>
      <c r="F15" s="75">
        <f>C15</f>
        <v>0.1</v>
      </c>
      <c r="G15" s="22">
        <f>G7*F15</f>
        <v>20000</v>
      </c>
      <c r="I15" s="75">
        <f>C15</f>
        <v>0.1</v>
      </c>
      <c r="J15" s="22">
        <f>J7*I15</f>
        <v>20000</v>
      </c>
    </row>
    <row r="16" spans="2:10" ht="15" customHeight="1">
      <c r="B16" s="35" t="s">
        <v>0</v>
      </c>
      <c r="C16" s="74">
        <v>0.335</v>
      </c>
      <c r="D16" s="22">
        <f>D15*C16</f>
        <v>6700</v>
      </c>
      <c r="F16" s="76">
        <f>C16</f>
        <v>0.335</v>
      </c>
      <c r="G16" s="22">
        <f>D16</f>
        <v>6700</v>
      </c>
      <c r="I16" s="25"/>
      <c r="J16" s="22"/>
    </row>
    <row r="17" spans="2:10" ht="15" customHeight="1">
      <c r="B17" s="35" t="s">
        <v>0</v>
      </c>
      <c r="C17" s="72">
        <v>0.02</v>
      </c>
      <c r="D17" s="22">
        <f>D7*C17</f>
        <v>4000</v>
      </c>
      <c r="F17" s="77">
        <f>C17</f>
        <v>0.02</v>
      </c>
      <c r="G17" s="22">
        <f>D17</f>
        <v>4000</v>
      </c>
      <c r="I17" s="77">
        <f>C17</f>
        <v>0.02</v>
      </c>
      <c r="J17" s="22">
        <f>J7*I17</f>
        <v>4000</v>
      </c>
    </row>
    <row r="18" spans="2:10" ht="15" customHeight="1">
      <c r="B18" s="35" t="s">
        <v>1</v>
      </c>
      <c r="C18" s="14" t="s">
        <v>8</v>
      </c>
      <c r="D18" s="43">
        <f>D14-D15-D16-D17</f>
        <v>42050</v>
      </c>
      <c r="F18" s="20" t="s">
        <v>8</v>
      </c>
      <c r="G18" s="43">
        <f>D18</f>
        <v>42050</v>
      </c>
      <c r="I18" s="20"/>
      <c r="J18" s="21"/>
    </row>
    <row r="19" spans="2:10" ht="15" customHeight="1">
      <c r="B19" s="35"/>
      <c r="C19" s="15">
        <v>0.09</v>
      </c>
      <c r="D19" s="22">
        <f>D18*C19</f>
        <v>3784.5</v>
      </c>
      <c r="F19" s="26" t="s">
        <v>13</v>
      </c>
      <c r="G19" s="21"/>
      <c r="I19" s="20"/>
      <c r="J19" s="21"/>
    </row>
    <row r="20" spans="2:10" ht="15" customHeight="1">
      <c r="B20" s="35"/>
      <c r="C20" s="16" t="s">
        <v>10</v>
      </c>
      <c r="D20" s="22"/>
      <c r="F20" s="27">
        <v>0.12</v>
      </c>
      <c r="G20" s="22">
        <f>G7*F20</f>
        <v>24000</v>
      </c>
      <c r="I20" s="20"/>
      <c r="J20" s="21"/>
    </row>
    <row r="21" spans="2:10" ht="15" customHeight="1">
      <c r="B21" s="35"/>
      <c r="C21" s="17">
        <v>0.15</v>
      </c>
      <c r="D21" s="22">
        <f>D18*C21</f>
        <v>6307.5</v>
      </c>
      <c r="F21" s="28">
        <v>0.09</v>
      </c>
      <c r="G21" s="22">
        <f>G20*F21</f>
        <v>2160</v>
      </c>
      <c r="I21" s="20"/>
      <c r="J21" s="21"/>
    </row>
    <row r="22" spans="2:10" ht="15" customHeight="1">
      <c r="B22" s="35"/>
      <c r="D22" s="22"/>
      <c r="F22" s="26" t="s">
        <v>12</v>
      </c>
      <c r="G22" s="21"/>
      <c r="I22" s="39" t="s">
        <v>46</v>
      </c>
      <c r="J22" s="21"/>
    </row>
    <row r="23" spans="2:10" ht="15" customHeight="1">
      <c r="B23" s="35"/>
      <c r="D23" s="43">
        <f>D18-D19-D21</f>
        <v>31958</v>
      </c>
      <c r="F23" s="27">
        <v>0.08</v>
      </c>
      <c r="G23" s="22">
        <f>G7*F23</f>
        <v>16000</v>
      </c>
      <c r="I23" s="40">
        <f>VLOOKUP(I10,'Anexo 1'!L33:M34,2)</f>
        <v>0.1161</v>
      </c>
      <c r="J23" s="22">
        <f>J7*I23</f>
        <v>23220</v>
      </c>
    </row>
    <row r="24" spans="2:10" ht="15" customHeight="1">
      <c r="B24" s="35"/>
      <c r="C24" s="48">
        <v>0.1</v>
      </c>
      <c r="D24" s="22">
        <f>IF(D23&gt;20000,(D23-20000)*C24,0)</f>
        <v>1195.8</v>
      </c>
      <c r="F24" s="29">
        <f>C21</f>
        <v>0.15</v>
      </c>
      <c r="G24" s="22">
        <f>G23*F24</f>
        <v>2400</v>
      </c>
      <c r="I24" s="20"/>
      <c r="J24" s="21"/>
    </row>
    <row r="25" spans="2:10" ht="15" customHeight="1">
      <c r="B25" s="35"/>
      <c r="D25" s="22"/>
      <c r="F25" s="44">
        <v>0.1</v>
      </c>
      <c r="G25" s="22">
        <f>IF(G23&gt;20000,(G23-20000)*F25,0)</f>
        <v>0</v>
      </c>
      <c r="I25" s="20"/>
      <c r="J25" s="21"/>
    </row>
    <row r="26" spans="2:10" ht="15" customHeight="1">
      <c r="B26" s="35"/>
      <c r="C26" s="13" t="s">
        <v>7</v>
      </c>
      <c r="D26" s="43">
        <f>D23-D24</f>
        <v>30762.2</v>
      </c>
      <c r="F26" s="39" t="s">
        <v>11</v>
      </c>
      <c r="G26" s="43">
        <f>G18-G21-G24-G25</f>
        <v>37490</v>
      </c>
      <c r="I26" s="39" t="s">
        <v>47</v>
      </c>
      <c r="J26" s="43">
        <f>J7-J10-J13-J15-J17-J23</f>
        <v>52780</v>
      </c>
    </row>
    <row r="27" spans="2:10" ht="15" customHeight="1">
      <c r="B27" s="36"/>
      <c r="C27" s="37"/>
      <c r="D27" s="38"/>
      <c r="F27" s="30"/>
      <c r="G27" s="31"/>
      <c r="I27" s="30"/>
      <c r="J27" s="31"/>
    </row>
    <row r="29" spans="3:9" ht="15" customHeight="1">
      <c r="C29" s="97">
        <f>D8-D9+D10+D11+D16+D19+D21+D24</f>
        <v>45237.8</v>
      </c>
      <c r="F29" s="93">
        <f>C30</f>
        <v>36560</v>
      </c>
      <c r="I29" s="95">
        <f>F31</f>
        <v>23220</v>
      </c>
    </row>
    <row r="30" spans="3:9" ht="15" customHeight="1">
      <c r="C30" s="90">
        <f>G8-G9+G10+G11+G16+G21+G24+G25</f>
        <v>36560</v>
      </c>
      <c r="F30" s="94">
        <f>C29</f>
        <v>45237.8</v>
      </c>
      <c r="I30" s="89">
        <f>C29</f>
        <v>45237.8</v>
      </c>
    </row>
    <row r="31" spans="3:9" ht="15" customHeight="1">
      <c r="C31" s="88">
        <f>J10+J23</f>
        <v>23220</v>
      </c>
      <c r="F31" s="88">
        <f>C31</f>
        <v>23220</v>
      </c>
      <c r="I31" s="90">
        <f>C30</f>
        <v>36560</v>
      </c>
    </row>
    <row r="32" spans="7:10" ht="15" customHeight="1">
      <c r="G32" s="11"/>
      <c r="J32" s="11"/>
    </row>
    <row r="33" spans="3:9" ht="15" customHeight="1">
      <c r="C33" s="91">
        <f>G26</f>
        <v>37490</v>
      </c>
      <c r="F33" s="92">
        <f>D26</f>
        <v>30762.2</v>
      </c>
      <c r="G33" s="11"/>
      <c r="I33" s="91">
        <f>C33</f>
        <v>37490</v>
      </c>
    </row>
    <row r="34" spans="3:9" ht="15" customHeight="1">
      <c r="C34" s="96">
        <f>J26</f>
        <v>52780</v>
      </c>
      <c r="F34" s="96">
        <f>C34</f>
        <v>52780</v>
      </c>
      <c r="I34" s="92">
        <f>F33</f>
        <v>30762.2</v>
      </c>
    </row>
  </sheetData>
  <sheetProtection sheet="1"/>
  <dataValidations count="1">
    <dataValidation type="list" allowBlank="1" showInputMessage="1" showErrorMessage="1" sqref="I10">
      <formula1>Icms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Apresentação" dvAspect="DVASPECT_ICON" shapeId="2037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4.28125" style="0" customWidth="1"/>
    <col min="2" max="2" width="12.28125" style="0" bestFit="1" customWidth="1"/>
    <col min="12" max="12" width="21.8515625" style="0" bestFit="1" customWidth="1"/>
  </cols>
  <sheetData>
    <row r="1" spans="1:11" ht="15">
      <c r="A1" s="1" t="s">
        <v>17</v>
      </c>
      <c r="B1" s="2"/>
      <c r="C1" s="2"/>
      <c r="D1" s="2"/>
      <c r="E1" s="2"/>
      <c r="F1" s="3"/>
      <c r="G1" s="2"/>
      <c r="H1" s="3"/>
      <c r="I1" s="2"/>
      <c r="J1" s="2"/>
      <c r="K1" s="3"/>
    </row>
    <row r="2" spans="1:11" ht="15">
      <c r="A2" s="1"/>
      <c r="B2" s="2"/>
      <c r="C2" s="4"/>
      <c r="D2" s="2"/>
      <c r="E2" s="2"/>
      <c r="F2" s="5"/>
      <c r="G2" s="2"/>
      <c r="H2" s="3"/>
      <c r="I2" s="2"/>
      <c r="J2" s="2"/>
      <c r="K2" s="5"/>
    </row>
    <row r="3" spans="1:11" ht="15">
      <c r="A3" s="113" t="s">
        <v>18</v>
      </c>
      <c r="B3" s="114"/>
      <c r="C3" s="87" t="s">
        <v>43</v>
      </c>
      <c r="D3" s="83" t="s">
        <v>19</v>
      </c>
      <c r="E3" s="83" t="s">
        <v>20</v>
      </c>
      <c r="F3" s="83" t="s">
        <v>3</v>
      </c>
      <c r="G3" s="83" t="s">
        <v>21</v>
      </c>
      <c r="H3" s="83" t="s">
        <v>22</v>
      </c>
      <c r="I3" s="83" t="s">
        <v>2</v>
      </c>
      <c r="J3" s="83"/>
      <c r="K3" s="84" t="s">
        <v>44</v>
      </c>
    </row>
    <row r="4" spans="1:11" ht="15">
      <c r="A4" s="82">
        <v>0</v>
      </c>
      <c r="B4" s="82">
        <f>120000</f>
        <v>120000</v>
      </c>
      <c r="C4" s="85">
        <v>0.04</v>
      </c>
      <c r="D4" s="86">
        <v>0</v>
      </c>
      <c r="E4" s="86">
        <v>0</v>
      </c>
      <c r="F4" s="86">
        <v>0</v>
      </c>
      <c r="G4" s="86">
        <v>0</v>
      </c>
      <c r="H4" s="86">
        <v>0.0275</v>
      </c>
      <c r="I4" s="86">
        <v>0.0125</v>
      </c>
      <c r="J4" s="86"/>
      <c r="K4" s="85">
        <f>SUM(D4:J4)-I4</f>
        <v>0.0275</v>
      </c>
    </row>
    <row r="5" spans="1:11" ht="15">
      <c r="A5" s="82">
        <f>B4+0.01</f>
        <v>120000.01</v>
      </c>
      <c r="B5" s="82">
        <f>240000</f>
        <v>240000</v>
      </c>
      <c r="C5" s="85">
        <v>0.0547</v>
      </c>
      <c r="D5" s="86">
        <v>0</v>
      </c>
      <c r="E5" s="86">
        <v>0</v>
      </c>
      <c r="F5" s="86">
        <v>0.0086</v>
      </c>
      <c r="G5" s="86">
        <v>0</v>
      </c>
      <c r="H5" s="86">
        <v>0.0275</v>
      </c>
      <c r="I5" s="86">
        <v>0.0186</v>
      </c>
      <c r="J5" s="86"/>
      <c r="K5" s="85">
        <f aca="true" t="shared" si="0" ref="K5:K23">SUM(D5:J5)-I5</f>
        <v>0.0361</v>
      </c>
    </row>
    <row r="6" spans="1:11" ht="15">
      <c r="A6" s="82">
        <f aca="true" t="shared" si="1" ref="A6:A22">B5+0.01</f>
        <v>240000.01</v>
      </c>
      <c r="B6" s="82">
        <f>360000</f>
        <v>360000</v>
      </c>
      <c r="C6" s="85">
        <v>0.0684</v>
      </c>
      <c r="D6" s="86">
        <v>0.0027</v>
      </c>
      <c r="E6" s="86">
        <v>0.0031</v>
      </c>
      <c r="F6" s="86">
        <v>0.0095</v>
      </c>
      <c r="G6" s="86">
        <v>0.0023</v>
      </c>
      <c r="H6" s="86">
        <v>0.0275</v>
      </c>
      <c r="I6" s="86">
        <v>0.0233</v>
      </c>
      <c r="J6" s="86"/>
      <c r="K6" s="85">
        <f t="shared" si="0"/>
        <v>0.0451</v>
      </c>
    </row>
    <row r="7" spans="1:11" ht="15">
      <c r="A7" s="82">
        <f t="shared" si="1"/>
        <v>360000.01</v>
      </c>
      <c r="B7" s="82">
        <f>480000</f>
        <v>480000</v>
      </c>
      <c r="C7" s="85">
        <v>0.0754</v>
      </c>
      <c r="D7" s="86">
        <v>0.0035</v>
      </c>
      <c r="E7" s="86">
        <v>0.0035</v>
      </c>
      <c r="F7" s="86">
        <v>0.0104</v>
      </c>
      <c r="G7" s="86">
        <v>0.0025</v>
      </c>
      <c r="H7" s="86">
        <v>0.0299</v>
      </c>
      <c r="I7" s="86">
        <v>0.0256</v>
      </c>
      <c r="J7" s="86"/>
      <c r="K7" s="85">
        <f t="shared" si="0"/>
        <v>0.0498</v>
      </c>
    </row>
    <row r="8" spans="1:11" ht="15">
      <c r="A8" s="82">
        <f t="shared" si="1"/>
        <v>480000.01</v>
      </c>
      <c r="B8" s="82">
        <f>600000</f>
        <v>600000</v>
      </c>
      <c r="C8" s="85">
        <v>0.076</v>
      </c>
      <c r="D8" s="86">
        <v>0.0035</v>
      </c>
      <c r="E8" s="86">
        <v>0.0035</v>
      </c>
      <c r="F8" s="86">
        <v>0.0105</v>
      </c>
      <c r="G8" s="86">
        <v>0.0025</v>
      </c>
      <c r="H8" s="86">
        <v>0.0302</v>
      </c>
      <c r="I8" s="86">
        <v>0.0258</v>
      </c>
      <c r="J8" s="86"/>
      <c r="K8" s="85">
        <f t="shared" si="0"/>
        <v>0.050199999999999995</v>
      </c>
    </row>
    <row r="9" spans="1:11" ht="15">
      <c r="A9" s="82">
        <f t="shared" si="1"/>
        <v>600000.01</v>
      </c>
      <c r="B9" s="82">
        <f>720000</f>
        <v>720000</v>
      </c>
      <c r="C9" s="85">
        <v>0.0828</v>
      </c>
      <c r="D9" s="86">
        <v>0.0038</v>
      </c>
      <c r="E9" s="86">
        <v>0.0038</v>
      </c>
      <c r="F9" s="86">
        <v>0.0115</v>
      </c>
      <c r="G9" s="86">
        <v>0.0027</v>
      </c>
      <c r="H9" s="86">
        <v>0.0328</v>
      </c>
      <c r="I9" s="86">
        <v>0.0282</v>
      </c>
      <c r="J9" s="86"/>
      <c r="K9" s="85">
        <f t="shared" si="0"/>
        <v>0.054599999999999996</v>
      </c>
    </row>
    <row r="10" spans="1:11" ht="15">
      <c r="A10" s="82">
        <f t="shared" si="1"/>
        <v>720000.01</v>
      </c>
      <c r="B10" s="82">
        <f>840000</f>
        <v>840000</v>
      </c>
      <c r="C10" s="85">
        <v>0.0836</v>
      </c>
      <c r="D10" s="86">
        <v>0.0039</v>
      </c>
      <c r="E10" s="86">
        <v>0.0039</v>
      </c>
      <c r="F10" s="86">
        <v>0.0116</v>
      </c>
      <c r="G10" s="86">
        <v>0.0028</v>
      </c>
      <c r="H10" s="86">
        <v>0.033</v>
      </c>
      <c r="I10" s="86">
        <v>0.0284</v>
      </c>
      <c r="J10" s="86"/>
      <c r="K10" s="85">
        <f t="shared" si="0"/>
        <v>0.055200000000000006</v>
      </c>
    </row>
    <row r="11" spans="1:11" ht="15">
      <c r="A11" s="82">
        <f t="shared" si="1"/>
        <v>840000.01</v>
      </c>
      <c r="B11" s="82">
        <f>960000</f>
        <v>960000</v>
      </c>
      <c r="C11" s="85">
        <v>0.0845</v>
      </c>
      <c r="D11" s="86">
        <v>0.0039</v>
      </c>
      <c r="E11" s="86">
        <v>0.0039</v>
      </c>
      <c r="F11" s="86">
        <v>0.0117</v>
      </c>
      <c r="G11" s="86">
        <v>0.0028</v>
      </c>
      <c r="H11" s="86">
        <v>0.0335</v>
      </c>
      <c r="I11" s="86">
        <v>0.0287</v>
      </c>
      <c r="J11" s="86"/>
      <c r="K11" s="85">
        <f t="shared" si="0"/>
        <v>0.0558</v>
      </c>
    </row>
    <row r="12" spans="1:11" ht="15">
      <c r="A12" s="82">
        <f t="shared" si="1"/>
        <v>960000.01</v>
      </c>
      <c r="B12" s="82">
        <f>1080000</f>
        <v>1080000</v>
      </c>
      <c r="C12" s="85">
        <v>0.0903</v>
      </c>
      <c r="D12" s="86">
        <v>0.0042</v>
      </c>
      <c r="E12" s="86">
        <v>0.0042</v>
      </c>
      <c r="F12" s="86">
        <v>0.0125</v>
      </c>
      <c r="G12" s="86">
        <v>0.003</v>
      </c>
      <c r="H12" s="86">
        <v>0.0357</v>
      </c>
      <c r="I12" s="86">
        <v>0.0307</v>
      </c>
      <c r="J12" s="86"/>
      <c r="K12" s="85">
        <f t="shared" si="0"/>
        <v>0.0596</v>
      </c>
    </row>
    <row r="13" spans="1:11" ht="15">
      <c r="A13" s="82">
        <f t="shared" si="1"/>
        <v>1080000.01</v>
      </c>
      <c r="B13" s="82">
        <f>1200000</f>
        <v>1200000</v>
      </c>
      <c r="C13" s="85">
        <v>0.0912</v>
      </c>
      <c r="D13" s="86">
        <v>0.0043</v>
      </c>
      <c r="E13" s="86">
        <v>0.0043</v>
      </c>
      <c r="F13" s="86">
        <v>0.0126</v>
      </c>
      <c r="G13" s="86">
        <v>0.003</v>
      </c>
      <c r="H13" s="86">
        <v>0.036</v>
      </c>
      <c r="I13" s="86">
        <v>0.031</v>
      </c>
      <c r="J13" s="86"/>
      <c r="K13" s="85">
        <f t="shared" si="0"/>
        <v>0.060200000000000004</v>
      </c>
    </row>
    <row r="14" spans="1:11" ht="15">
      <c r="A14" s="82">
        <f t="shared" si="1"/>
        <v>1200000.01</v>
      </c>
      <c r="B14" s="82">
        <f>1320000</f>
        <v>1320000</v>
      </c>
      <c r="C14" s="85">
        <v>0.0995</v>
      </c>
      <c r="D14" s="86">
        <v>0.0046</v>
      </c>
      <c r="E14" s="86">
        <v>0.0046</v>
      </c>
      <c r="F14" s="86">
        <v>0.0138</v>
      </c>
      <c r="G14" s="86">
        <v>0.0033</v>
      </c>
      <c r="H14" s="86">
        <v>0.0394</v>
      </c>
      <c r="I14" s="86">
        <v>0.0338</v>
      </c>
      <c r="J14" s="86"/>
      <c r="K14" s="85">
        <f t="shared" si="0"/>
        <v>0.0657</v>
      </c>
    </row>
    <row r="15" spans="1:11" ht="15">
      <c r="A15" s="82">
        <f t="shared" si="1"/>
        <v>1320000.01</v>
      </c>
      <c r="B15" s="82">
        <f>1440000/1</f>
        <v>1440000</v>
      </c>
      <c r="C15" s="85">
        <v>0.1004</v>
      </c>
      <c r="D15" s="86">
        <v>0.0046</v>
      </c>
      <c r="E15" s="86">
        <v>0.0046</v>
      </c>
      <c r="F15" s="86">
        <v>0.0139</v>
      </c>
      <c r="G15" s="86">
        <v>0.0033</v>
      </c>
      <c r="H15" s="86">
        <v>0.0399</v>
      </c>
      <c r="I15" s="86">
        <v>0.0341</v>
      </c>
      <c r="J15" s="86"/>
      <c r="K15" s="85">
        <f t="shared" si="0"/>
        <v>0.0663</v>
      </c>
    </row>
    <row r="16" spans="1:11" ht="15">
      <c r="A16" s="82">
        <f t="shared" si="1"/>
        <v>1440000.01</v>
      </c>
      <c r="B16" s="82">
        <f>1560000</f>
        <v>1560000</v>
      </c>
      <c r="C16" s="85">
        <v>0.1013</v>
      </c>
      <c r="D16" s="86">
        <v>0.0047</v>
      </c>
      <c r="E16" s="86">
        <v>0.0047</v>
      </c>
      <c r="F16" s="86">
        <v>0.014</v>
      </c>
      <c r="G16" s="86">
        <v>0.0033</v>
      </c>
      <c r="H16" s="86">
        <v>0.0401</v>
      </c>
      <c r="I16" s="86">
        <v>0.0345</v>
      </c>
      <c r="J16" s="86"/>
      <c r="K16" s="85">
        <f t="shared" si="0"/>
        <v>0.0668</v>
      </c>
    </row>
    <row r="17" spans="1:11" ht="15">
      <c r="A17" s="82">
        <f t="shared" si="1"/>
        <v>1560000.01</v>
      </c>
      <c r="B17" s="82">
        <f>1680000</f>
        <v>1680000</v>
      </c>
      <c r="C17" s="85">
        <v>0.1023</v>
      </c>
      <c r="D17" s="86">
        <v>0.0047</v>
      </c>
      <c r="E17" s="86">
        <v>0.0047</v>
      </c>
      <c r="F17" s="86">
        <v>0.0142</v>
      </c>
      <c r="G17" s="86">
        <v>0.0034</v>
      </c>
      <c r="H17" s="86">
        <v>0.0405</v>
      </c>
      <c r="I17" s="86">
        <v>0.0348</v>
      </c>
      <c r="J17" s="86"/>
      <c r="K17" s="85">
        <f t="shared" si="0"/>
        <v>0.0675</v>
      </c>
    </row>
    <row r="18" spans="1:11" ht="15">
      <c r="A18" s="82">
        <f t="shared" si="1"/>
        <v>1680000.01</v>
      </c>
      <c r="B18" s="82">
        <f>1800000</f>
        <v>1800000</v>
      </c>
      <c r="C18" s="85">
        <v>0.1032</v>
      </c>
      <c r="D18" s="86">
        <v>0.0048</v>
      </c>
      <c r="E18" s="86">
        <v>0.0048</v>
      </c>
      <c r="F18" s="86">
        <v>0.0143</v>
      </c>
      <c r="G18" s="86">
        <v>0.0034</v>
      </c>
      <c r="H18" s="86">
        <v>0.0408</v>
      </c>
      <c r="I18" s="86">
        <v>0.0351</v>
      </c>
      <c r="J18" s="86"/>
      <c r="K18" s="85">
        <f t="shared" si="0"/>
        <v>0.0681</v>
      </c>
    </row>
    <row r="19" spans="1:11" ht="15">
      <c r="A19" s="82">
        <f t="shared" si="1"/>
        <v>1800000.01</v>
      </c>
      <c r="B19" s="82">
        <f>1920000</f>
        <v>1920000</v>
      </c>
      <c r="C19" s="85">
        <v>0.1123</v>
      </c>
      <c r="D19" s="86">
        <v>0.0052</v>
      </c>
      <c r="E19" s="86">
        <v>0.0052</v>
      </c>
      <c r="F19" s="86">
        <v>0.0156</v>
      </c>
      <c r="G19" s="86">
        <v>0.0037</v>
      </c>
      <c r="H19" s="86">
        <v>0.0444</v>
      </c>
      <c r="I19" s="86">
        <v>0.0382</v>
      </c>
      <c r="J19" s="86"/>
      <c r="K19" s="85">
        <f t="shared" si="0"/>
        <v>0.0741</v>
      </c>
    </row>
    <row r="20" spans="1:11" ht="15">
      <c r="A20" s="82">
        <f t="shared" si="1"/>
        <v>1920000.01</v>
      </c>
      <c r="B20" s="82">
        <f>2040000</f>
        <v>2040000</v>
      </c>
      <c r="C20" s="85">
        <v>0.1132</v>
      </c>
      <c r="D20" s="86">
        <v>0.0052</v>
      </c>
      <c r="E20" s="86">
        <v>0.0052</v>
      </c>
      <c r="F20" s="86">
        <v>0.0157</v>
      </c>
      <c r="G20" s="86">
        <v>0.0037</v>
      </c>
      <c r="H20" s="86">
        <v>0.0449</v>
      </c>
      <c r="I20" s="86">
        <v>0.0385</v>
      </c>
      <c r="J20" s="86"/>
      <c r="K20" s="85">
        <f t="shared" si="0"/>
        <v>0.07469999999999999</v>
      </c>
    </row>
    <row r="21" spans="1:11" ht="15">
      <c r="A21" s="82">
        <f t="shared" si="1"/>
        <v>2040000.01</v>
      </c>
      <c r="B21" s="82">
        <f>2160000</f>
        <v>2160000</v>
      </c>
      <c r="C21" s="85">
        <v>0.1142</v>
      </c>
      <c r="D21" s="86">
        <v>0.0053</v>
      </c>
      <c r="E21" s="86">
        <v>0.0053</v>
      </c>
      <c r="F21" s="86">
        <v>0.0158</v>
      </c>
      <c r="G21" s="86">
        <v>0.0038</v>
      </c>
      <c r="H21" s="86">
        <v>0.0452</v>
      </c>
      <c r="I21" s="86">
        <v>0.0388</v>
      </c>
      <c r="J21" s="86"/>
      <c r="K21" s="85">
        <f t="shared" si="0"/>
        <v>0.0754</v>
      </c>
    </row>
    <row r="22" spans="1:11" ht="15">
      <c r="A22" s="82">
        <f t="shared" si="1"/>
        <v>2160000.01</v>
      </c>
      <c r="B22" s="82">
        <f>2280000</f>
        <v>2280000</v>
      </c>
      <c r="C22" s="85">
        <v>0.1151</v>
      </c>
      <c r="D22" s="86">
        <v>0.0053</v>
      </c>
      <c r="E22" s="86">
        <v>0.0053</v>
      </c>
      <c r="F22" s="86">
        <v>0.016</v>
      </c>
      <c r="G22" s="86">
        <v>0.0038</v>
      </c>
      <c r="H22" s="86">
        <v>0.0456</v>
      </c>
      <c r="I22" s="86">
        <v>0.0391</v>
      </c>
      <c r="J22" s="86"/>
      <c r="K22" s="85">
        <f t="shared" si="0"/>
        <v>0.07600000000000001</v>
      </c>
    </row>
    <row r="23" spans="1:11" ht="15">
      <c r="A23" s="82">
        <f>2280000.01</f>
        <v>2280000.01</v>
      </c>
      <c r="B23" s="82">
        <v>2400000</v>
      </c>
      <c r="C23" s="85">
        <v>0.1161</v>
      </c>
      <c r="D23" s="86">
        <v>0.0054</v>
      </c>
      <c r="E23" s="86">
        <v>0.0054</v>
      </c>
      <c r="F23" s="86">
        <v>0.016</v>
      </c>
      <c r="G23" s="86">
        <v>0.0038</v>
      </c>
      <c r="H23" s="86">
        <v>0.046</v>
      </c>
      <c r="I23" s="86">
        <v>0.0395</v>
      </c>
      <c r="J23" s="86"/>
      <c r="K23" s="85">
        <f t="shared" si="0"/>
        <v>0.0766</v>
      </c>
    </row>
    <row r="24" spans="1:11" ht="15">
      <c r="A24" s="6">
        <f>2400000*1.2</f>
        <v>2880000</v>
      </c>
      <c r="B24" s="6"/>
      <c r="C24" s="85">
        <v>0.1161</v>
      </c>
      <c r="D24" s="7"/>
      <c r="E24" s="8"/>
      <c r="F24" s="8"/>
      <c r="G24" s="8"/>
      <c r="H24" s="8"/>
      <c r="I24" s="8"/>
      <c r="K24" s="85">
        <f>SUM(D23:J23)-I23</f>
        <v>0.0766</v>
      </c>
    </row>
    <row r="25" ht="15">
      <c r="J25" s="8" t="s">
        <v>45</v>
      </c>
    </row>
    <row r="33" spans="12:13" ht="15">
      <c r="L33" t="s">
        <v>29</v>
      </c>
      <c r="M33">
        <f>VLOOKUP(Comércio!J8,A4:C24,3)</f>
        <v>0.1161</v>
      </c>
    </row>
    <row r="34" spans="12:13" ht="15">
      <c r="L34" t="s">
        <v>30</v>
      </c>
      <c r="M34">
        <f>VLOOKUP(Comércio!J8,A4:K24,11)</f>
        <v>0.0766</v>
      </c>
    </row>
    <row r="35" spans="12:13" ht="15">
      <c r="L35" t="s">
        <v>28</v>
      </c>
      <c r="M35">
        <f>VLOOKUP(Comércio!J8,A4:K24,11)</f>
        <v>0.0766</v>
      </c>
    </row>
  </sheetData>
  <sheetProtection sheet="1"/>
  <mergeCells count="1">
    <mergeCell ref="A3:B3"/>
  </mergeCells>
  <hyperlinks>
    <hyperlink ref="D3" r:id="rId1" display="http://www.planalto.gov.br/ccivil_03/Leis/LCP/Lcp128.htm"/>
    <hyperlink ref="E3" r:id="rId2" display="http://www.planalto.gov.br/ccivil_03/Leis/LCP/Lcp128.htm"/>
    <hyperlink ref="F3" r:id="rId3" display="http://www.planalto.gov.br/ccivil_03/Leis/LCP/Lcp128.htm"/>
    <hyperlink ref="G3" r:id="rId4" display="http://www.planalto.gov.br/ccivil_03/Leis/LCP/Lcp128.htm"/>
    <hyperlink ref="H3" r:id="rId5" display="http://www.planalto.gov.br/ccivil_03/Leis/LCP/Lcp128.htm"/>
    <hyperlink ref="I3" r:id="rId6" display="http://www.planalto.gov.br/ccivil_03/Leis/LCP/Lcp128.htm"/>
    <hyperlink ref="D4" r:id="rId7" display="http://www.planalto.gov.br/ccivil_03/Leis/LCP/Lcp128.htm"/>
    <hyperlink ref="E4" r:id="rId8" display="http://www.planalto.gov.br/ccivil_03/Leis/LCP/Lcp128.htm"/>
    <hyperlink ref="F4" r:id="rId9" display="http://www.planalto.gov.br/ccivil_03/Leis/LCP/Lcp128.htm"/>
    <hyperlink ref="G4" r:id="rId10" display="http://www.planalto.gov.br/ccivil_03/Leis/LCP/Lcp128.htm"/>
    <hyperlink ref="H4" r:id="rId11" display="http://www.planalto.gov.br/ccivil_03/Leis/LCP/Lcp128.htm"/>
    <hyperlink ref="I4" r:id="rId12" display="http://www.planalto.gov.br/ccivil_03/Leis/LCP/Lcp128.htm"/>
    <hyperlink ref="D5" r:id="rId13" display="http://www.planalto.gov.br/ccivil_03/Leis/LCP/Lcp128.htm"/>
    <hyperlink ref="E5" r:id="rId14" display="http://www.planalto.gov.br/ccivil_03/Leis/LCP/Lcp128.htm"/>
    <hyperlink ref="F5" r:id="rId15" display="http://www.planalto.gov.br/ccivil_03/Leis/LCP/Lcp128.htm"/>
    <hyperlink ref="G5" r:id="rId16" display="http://www.planalto.gov.br/ccivil_03/Leis/LCP/Lcp128.htm"/>
    <hyperlink ref="H5" r:id="rId17" display="http://www.planalto.gov.br/ccivil_03/Leis/LCP/Lcp128.htm"/>
    <hyperlink ref="I5" r:id="rId18" display="http://www.planalto.gov.br/ccivil_03/Leis/LCP/Lcp128.htm"/>
    <hyperlink ref="D6" r:id="rId19" display="http://www.planalto.gov.br/ccivil_03/Leis/LCP/Lcp128.htm"/>
    <hyperlink ref="E6" r:id="rId20" display="http://www.planalto.gov.br/ccivil_03/Leis/LCP/Lcp128.htm"/>
    <hyperlink ref="F6" r:id="rId21" display="http://www.planalto.gov.br/ccivil_03/Leis/LCP/Lcp128.htm"/>
    <hyperlink ref="G6" r:id="rId22" display="http://www.planalto.gov.br/ccivil_03/Leis/LCP/Lcp128.htm"/>
    <hyperlink ref="H6" r:id="rId23" display="http://www.planalto.gov.br/ccivil_03/Leis/LCP/Lcp128.htm"/>
    <hyperlink ref="I6" r:id="rId24" display="http://www.planalto.gov.br/ccivil_03/Leis/LCP/Lcp128.htm"/>
    <hyperlink ref="D7" r:id="rId25" display="http://www.planalto.gov.br/ccivil_03/Leis/LCP/Lcp128.htm"/>
    <hyperlink ref="E7" r:id="rId26" display="http://www.planalto.gov.br/ccivil_03/Leis/LCP/Lcp128.htm"/>
    <hyperlink ref="F7" r:id="rId27" display="http://www.planalto.gov.br/ccivil_03/Leis/LCP/Lcp128.htm"/>
    <hyperlink ref="G7" r:id="rId28" display="http://www.planalto.gov.br/ccivil_03/Leis/LCP/Lcp128.htm"/>
    <hyperlink ref="H7" r:id="rId29" display="http://www.planalto.gov.br/ccivil_03/Leis/LCP/Lcp128.htm"/>
    <hyperlink ref="I7" r:id="rId30" display="http://www.planalto.gov.br/ccivil_03/Leis/LCP/Lcp128.htm"/>
    <hyperlink ref="D8" r:id="rId31" display="http://www.planalto.gov.br/ccivil_03/Leis/LCP/Lcp128.htm"/>
    <hyperlink ref="E8" r:id="rId32" display="http://www.planalto.gov.br/ccivil_03/Leis/LCP/Lcp128.htm"/>
    <hyperlink ref="F8" r:id="rId33" display="http://www.planalto.gov.br/ccivil_03/Leis/LCP/Lcp128.htm"/>
    <hyperlink ref="G8" r:id="rId34" display="http://www.planalto.gov.br/ccivil_03/Leis/LCP/Lcp128.htm"/>
    <hyperlink ref="H8" r:id="rId35" display="http://www.planalto.gov.br/ccivil_03/Leis/LCP/Lcp128.htm"/>
    <hyperlink ref="I8" r:id="rId36" display="http://www.planalto.gov.br/ccivil_03/Leis/LCP/Lcp128.htm"/>
    <hyperlink ref="D9" r:id="rId37" display="http://www.planalto.gov.br/ccivil_03/Leis/LCP/Lcp128.htm"/>
    <hyperlink ref="E9" r:id="rId38" display="http://www.planalto.gov.br/ccivil_03/Leis/LCP/Lcp128.htm"/>
    <hyperlink ref="F9" r:id="rId39" display="http://www.planalto.gov.br/ccivil_03/Leis/LCP/Lcp128.htm"/>
    <hyperlink ref="G9" r:id="rId40" display="http://www.planalto.gov.br/ccivil_03/Leis/LCP/Lcp128.htm"/>
    <hyperlink ref="H9" r:id="rId41" display="http://www.planalto.gov.br/ccivil_03/Leis/LCP/Lcp128.htm"/>
    <hyperlink ref="I9" r:id="rId42" display="http://www.planalto.gov.br/ccivil_03/Leis/LCP/Lcp128.htm"/>
    <hyperlink ref="D10" r:id="rId43" display="http://www.planalto.gov.br/ccivil_03/Leis/LCP/Lcp128.htm"/>
    <hyperlink ref="E10" r:id="rId44" display="http://www.planalto.gov.br/ccivil_03/Leis/LCP/Lcp128.htm"/>
    <hyperlink ref="F10" r:id="rId45" display="http://www.planalto.gov.br/ccivil_03/Leis/LCP/Lcp128.htm"/>
    <hyperlink ref="G10" r:id="rId46" display="http://www.planalto.gov.br/ccivil_03/Leis/LCP/Lcp128.htm"/>
    <hyperlink ref="H10" r:id="rId47" display="http://www.planalto.gov.br/ccivil_03/Leis/LCP/Lcp128.htm"/>
    <hyperlink ref="I10" r:id="rId48" display="http://www.planalto.gov.br/ccivil_03/Leis/LCP/Lcp128.htm"/>
    <hyperlink ref="D11" r:id="rId49" display="http://www.planalto.gov.br/ccivil_03/Leis/LCP/Lcp128.htm"/>
    <hyperlink ref="E11" r:id="rId50" display="http://www.planalto.gov.br/ccivil_03/Leis/LCP/Lcp128.htm"/>
    <hyperlink ref="F11" r:id="rId51" display="http://www.planalto.gov.br/ccivil_03/Leis/LCP/Lcp128.htm"/>
    <hyperlink ref="G11" r:id="rId52" display="http://www.planalto.gov.br/ccivil_03/Leis/LCP/Lcp128.htm"/>
    <hyperlink ref="H11" r:id="rId53" display="http://www.planalto.gov.br/ccivil_03/Leis/LCP/Lcp128.htm"/>
    <hyperlink ref="I11" r:id="rId54" display="http://www.planalto.gov.br/ccivil_03/Leis/LCP/Lcp128.htm"/>
    <hyperlink ref="D12" r:id="rId55" display="http://www.planalto.gov.br/ccivil_03/Leis/LCP/Lcp128.htm"/>
    <hyperlink ref="E12" r:id="rId56" display="http://www.planalto.gov.br/ccivil_03/Leis/LCP/Lcp128.htm"/>
    <hyperlink ref="F12" r:id="rId57" display="http://www.planalto.gov.br/ccivil_03/Leis/LCP/Lcp128.htm"/>
    <hyperlink ref="G12" r:id="rId58" display="http://www.planalto.gov.br/ccivil_03/Leis/LCP/Lcp128.htm"/>
    <hyperlink ref="H12" r:id="rId59" display="http://www.planalto.gov.br/ccivil_03/Leis/LCP/Lcp128.htm"/>
    <hyperlink ref="I12" r:id="rId60" display="http://www.planalto.gov.br/ccivil_03/Leis/LCP/Lcp128.htm"/>
    <hyperlink ref="D13" r:id="rId61" display="http://www.planalto.gov.br/ccivil_03/Leis/LCP/Lcp128.htm"/>
    <hyperlink ref="E13" r:id="rId62" display="http://www.planalto.gov.br/ccivil_03/Leis/LCP/Lcp128.htm"/>
    <hyperlink ref="F13" r:id="rId63" display="http://www.planalto.gov.br/ccivil_03/Leis/LCP/Lcp128.htm"/>
    <hyperlink ref="G13" r:id="rId64" display="http://www.planalto.gov.br/ccivil_03/Leis/LCP/Lcp128.htm"/>
    <hyperlink ref="H13" r:id="rId65" display="http://www.planalto.gov.br/ccivil_03/Leis/LCP/Lcp128.htm"/>
    <hyperlink ref="I13" r:id="rId66" display="http://www.planalto.gov.br/ccivil_03/Leis/LCP/Lcp128.htm"/>
    <hyperlink ref="D14" r:id="rId67" display="http://www.planalto.gov.br/ccivil_03/Leis/LCP/Lcp128.htm"/>
    <hyperlink ref="E14" r:id="rId68" display="http://www.planalto.gov.br/ccivil_03/Leis/LCP/Lcp128.htm"/>
    <hyperlink ref="F14" r:id="rId69" display="http://www.planalto.gov.br/ccivil_03/Leis/LCP/Lcp128.htm"/>
    <hyperlink ref="G14" r:id="rId70" display="http://www.planalto.gov.br/ccivil_03/Leis/LCP/Lcp128.htm"/>
    <hyperlink ref="H14" r:id="rId71" display="http://www.planalto.gov.br/ccivil_03/Leis/LCP/Lcp128.htm"/>
    <hyperlink ref="I14" r:id="rId72" display="http://www.planalto.gov.br/ccivil_03/Leis/LCP/Lcp128.htm"/>
    <hyperlink ref="D15" r:id="rId73" display="http://www.planalto.gov.br/ccivil_03/Leis/LCP/Lcp128.htm"/>
    <hyperlink ref="E15" r:id="rId74" display="http://www.planalto.gov.br/ccivil_03/Leis/LCP/Lcp128.htm"/>
    <hyperlink ref="F15" r:id="rId75" display="http://www.planalto.gov.br/ccivil_03/Leis/LCP/Lcp128.htm"/>
    <hyperlink ref="G15" r:id="rId76" display="http://www.planalto.gov.br/ccivil_03/Leis/LCP/Lcp128.htm"/>
    <hyperlink ref="H15" r:id="rId77" display="http://www.planalto.gov.br/ccivil_03/Leis/LCP/Lcp128.htm"/>
    <hyperlink ref="I15" r:id="rId78" display="http://www.planalto.gov.br/ccivil_03/Leis/LCP/Lcp128.htm"/>
    <hyperlink ref="D16" r:id="rId79" display="http://www.planalto.gov.br/ccivil_03/Leis/LCP/Lcp128.htm"/>
    <hyperlink ref="E16" r:id="rId80" display="http://www.planalto.gov.br/ccivil_03/Leis/LCP/Lcp128.htm"/>
    <hyperlink ref="F16" r:id="rId81" display="http://www.planalto.gov.br/ccivil_03/Leis/LCP/Lcp128.htm"/>
    <hyperlink ref="G16" r:id="rId82" display="http://www.planalto.gov.br/ccivil_03/Leis/LCP/Lcp128.htm"/>
    <hyperlink ref="H16" r:id="rId83" display="http://www.planalto.gov.br/ccivil_03/Leis/LCP/Lcp128.htm"/>
    <hyperlink ref="I16" r:id="rId84" display="http://www.planalto.gov.br/ccivil_03/Leis/LCP/Lcp128.htm"/>
    <hyperlink ref="D17" r:id="rId85" display="http://www.planalto.gov.br/ccivil_03/Leis/LCP/Lcp128.htm"/>
    <hyperlink ref="E17" r:id="rId86" display="http://www.planalto.gov.br/ccivil_03/Leis/LCP/Lcp128.htm"/>
    <hyperlink ref="F17" r:id="rId87" display="http://www.planalto.gov.br/ccivil_03/Leis/LCP/Lcp128.htm"/>
    <hyperlink ref="G17" r:id="rId88" display="http://www.planalto.gov.br/ccivil_03/Leis/LCP/Lcp128.htm"/>
    <hyperlink ref="H17" r:id="rId89" display="http://www.planalto.gov.br/ccivil_03/Leis/LCP/Lcp128.htm"/>
    <hyperlink ref="I17" r:id="rId90" display="http://www.planalto.gov.br/ccivil_03/Leis/LCP/Lcp128.htm"/>
    <hyperlink ref="D18" r:id="rId91" display="http://www.planalto.gov.br/ccivil_03/Leis/LCP/Lcp128.htm"/>
    <hyperlink ref="E18" r:id="rId92" display="http://www.planalto.gov.br/ccivil_03/Leis/LCP/Lcp128.htm"/>
    <hyperlink ref="F18" r:id="rId93" display="http://www.planalto.gov.br/ccivil_03/Leis/LCP/Lcp128.htm"/>
    <hyperlink ref="G18" r:id="rId94" display="http://www.planalto.gov.br/ccivil_03/Leis/LCP/Lcp128.htm"/>
    <hyperlink ref="H18" r:id="rId95" display="http://www.planalto.gov.br/ccivil_03/Leis/LCP/Lcp128.htm"/>
    <hyperlink ref="I18" r:id="rId96" display="http://www.planalto.gov.br/ccivil_03/Leis/LCP/Lcp128.htm"/>
    <hyperlink ref="D19" r:id="rId97" display="http://www.planalto.gov.br/ccivil_03/Leis/LCP/Lcp128.htm"/>
    <hyperlink ref="E19" r:id="rId98" display="http://www.planalto.gov.br/ccivil_03/Leis/LCP/Lcp128.htm"/>
    <hyperlink ref="F19" r:id="rId99" display="http://www.planalto.gov.br/ccivil_03/Leis/LCP/Lcp128.htm"/>
    <hyperlink ref="G19" r:id="rId100" display="http://www.planalto.gov.br/ccivil_03/Leis/LCP/Lcp128.htm"/>
    <hyperlink ref="H19" r:id="rId101" display="http://www.planalto.gov.br/ccivil_03/Leis/LCP/Lcp128.htm"/>
    <hyperlink ref="I19" r:id="rId102" display="http://www.planalto.gov.br/ccivil_03/Leis/LCP/Lcp128.htm"/>
    <hyperlink ref="D20" r:id="rId103" display="http://www.planalto.gov.br/ccivil_03/Leis/LCP/Lcp128.htm"/>
    <hyperlink ref="E20" r:id="rId104" display="http://www.planalto.gov.br/ccivil_03/Leis/LCP/Lcp128.htm"/>
    <hyperlink ref="F20" r:id="rId105" display="http://www.planalto.gov.br/ccivil_03/Leis/LCP/Lcp128.htm"/>
    <hyperlink ref="G20" r:id="rId106" display="http://www.planalto.gov.br/ccivil_03/Leis/LCP/Lcp128.htm"/>
    <hyperlink ref="H20" r:id="rId107" display="http://www.planalto.gov.br/ccivil_03/Leis/LCP/Lcp128.htm"/>
    <hyperlink ref="I20" r:id="rId108" display="http://www.planalto.gov.br/ccivil_03/Leis/LCP/Lcp128.htm"/>
    <hyperlink ref="D21" r:id="rId109" display="http://www.planalto.gov.br/ccivil_03/Leis/LCP/Lcp128.htm"/>
    <hyperlink ref="E21" r:id="rId110" display="http://www.planalto.gov.br/ccivil_03/Leis/LCP/Lcp128.htm"/>
    <hyperlink ref="F21" r:id="rId111" display="http://www.planalto.gov.br/ccivil_03/Leis/LCP/Lcp128.htm"/>
    <hyperlink ref="G21" r:id="rId112" display="http://www.planalto.gov.br/ccivil_03/Leis/LCP/Lcp128.htm"/>
    <hyperlink ref="H21" r:id="rId113" display="http://www.planalto.gov.br/ccivil_03/Leis/LCP/Lcp128.htm"/>
    <hyperlink ref="I21" r:id="rId114" display="http://www.planalto.gov.br/ccivil_03/Leis/LCP/Lcp128.htm"/>
    <hyperlink ref="D22" r:id="rId115" display="http://www.planalto.gov.br/ccivil_03/Leis/LCP/Lcp128.htm"/>
    <hyperlink ref="E22" r:id="rId116" display="http://www.planalto.gov.br/ccivil_03/Leis/LCP/Lcp128.htm"/>
    <hyperlink ref="F22" r:id="rId117" display="http://www.planalto.gov.br/ccivil_03/Leis/LCP/Lcp128.htm"/>
    <hyperlink ref="G22" r:id="rId118" display="http://www.planalto.gov.br/ccivil_03/Leis/LCP/Lcp128.htm"/>
    <hyperlink ref="H22" r:id="rId119" display="http://www.planalto.gov.br/ccivil_03/Leis/LCP/Lcp128.htm"/>
    <hyperlink ref="I22" r:id="rId120" display="http://www.planalto.gov.br/ccivil_03/Leis/LCP/Lcp128.htm"/>
    <hyperlink ref="D23" r:id="rId121" display="http://www.planalto.gov.br/ccivil_03/Leis/LCP/Lcp128.htm"/>
    <hyperlink ref="E23" r:id="rId122" display="http://www.planalto.gov.br/ccivil_03/Leis/LCP/Lcp128.htm"/>
    <hyperlink ref="F23" r:id="rId123" display="http://www.planalto.gov.br/ccivil_03/Leis/LCP/Lcp128.htm"/>
    <hyperlink ref="G23" r:id="rId124" display="http://www.planalto.gov.br/ccivil_03/Leis/LCP/Lcp128.htm"/>
    <hyperlink ref="H23" r:id="rId125" display="http://www.planalto.gov.br/ccivil_03/Leis/LCP/Lcp128.htm"/>
    <hyperlink ref="I23" r:id="rId126" display="http://www.planalto.gov.br/ccivil_03/Leis/LCP/Lcp128.htm"/>
  </hyperlink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6"/>
  <sheetViews>
    <sheetView zoomScale="90" zoomScaleNormal="90" zoomScalePageLayoutView="0" workbookViewId="0" topLeftCell="A1">
      <selection activeCell="J5" sqref="J5"/>
    </sheetView>
  </sheetViews>
  <sheetFormatPr defaultColWidth="9.140625" defaultRowHeight="15" customHeight="1"/>
  <cols>
    <col min="1" max="1" width="2.7109375" style="10" customWidth="1"/>
    <col min="2" max="2" width="3.140625" style="12" customWidth="1"/>
    <col min="3" max="3" width="44.28125" style="10" customWidth="1"/>
    <col min="4" max="4" width="14.7109375" style="11" bestFit="1" customWidth="1"/>
    <col min="5" max="5" width="2.140625" style="12" customWidth="1"/>
    <col min="6" max="6" width="46.140625" style="10" customWidth="1"/>
    <col min="7" max="7" width="14.7109375" style="10" bestFit="1" customWidth="1"/>
    <col min="8" max="8" width="2.00390625" style="10" customWidth="1"/>
    <col min="9" max="9" width="45.421875" style="10" customWidth="1"/>
    <col min="10" max="10" width="17.421875" style="10" customWidth="1"/>
    <col min="11" max="16384" width="9.140625" style="10" customWidth="1"/>
  </cols>
  <sheetData>
    <row r="2" spans="3:4" ht="26.25" customHeight="1">
      <c r="C2" s="56" t="s">
        <v>34</v>
      </c>
      <c r="D2" s="10"/>
    </row>
    <row r="5" spans="2:10" ht="15" customHeight="1">
      <c r="B5" s="9" t="s">
        <v>9</v>
      </c>
      <c r="G5" s="10" t="s">
        <v>37</v>
      </c>
      <c r="J5" s="58"/>
    </row>
    <row r="7" spans="2:10" ht="15" customHeight="1">
      <c r="B7" s="32"/>
      <c r="C7" s="33" t="s">
        <v>14</v>
      </c>
      <c r="D7" s="34"/>
      <c r="F7" s="18" t="s">
        <v>15</v>
      </c>
      <c r="G7" s="19"/>
      <c r="I7" s="18" t="s">
        <v>16</v>
      </c>
      <c r="J7" s="19"/>
    </row>
    <row r="8" spans="2:10" ht="15" customHeight="1">
      <c r="B8" s="35"/>
      <c r="D8" s="22"/>
      <c r="F8" s="20"/>
      <c r="G8" s="21"/>
      <c r="I8" s="20"/>
      <c r="J8" s="21"/>
    </row>
    <row r="9" spans="2:10" ht="15" customHeight="1">
      <c r="B9" s="35"/>
      <c r="C9" s="10" t="s">
        <v>4</v>
      </c>
      <c r="D9" s="42">
        <v>300000</v>
      </c>
      <c r="F9" s="20" t="s">
        <v>4</v>
      </c>
      <c r="G9" s="22">
        <f>D9</f>
        <v>300000</v>
      </c>
      <c r="I9" s="20" t="s">
        <v>50</v>
      </c>
      <c r="J9" s="22">
        <f>G9</f>
        <v>300000</v>
      </c>
    </row>
    <row r="10" spans="2:10" ht="15" customHeight="1">
      <c r="B10" s="35"/>
      <c r="C10" s="46">
        <v>0.05</v>
      </c>
      <c r="D10" s="22">
        <f>(D9*C10)</f>
        <v>15000</v>
      </c>
      <c r="F10" s="47">
        <f>C10</f>
        <v>0.05</v>
      </c>
      <c r="G10" s="22">
        <f>D10</f>
        <v>15000</v>
      </c>
      <c r="I10" s="20" t="s">
        <v>26</v>
      </c>
      <c r="J10" s="22">
        <f>G9*12</f>
        <v>3600000</v>
      </c>
    </row>
    <row r="11" spans="2:10" ht="15" customHeight="1">
      <c r="B11" s="35"/>
      <c r="C11" s="109">
        <v>0.0165</v>
      </c>
      <c r="D11" s="22">
        <f>(D9*C11)-((D9*C14)*C11)</f>
        <v>2079</v>
      </c>
      <c r="F11" s="23">
        <v>0.0065</v>
      </c>
      <c r="G11" s="22">
        <f>G9*F11</f>
        <v>1950</v>
      </c>
      <c r="I11" s="20"/>
      <c r="J11" s="22"/>
    </row>
    <row r="12" spans="2:10" ht="15" customHeight="1">
      <c r="B12" s="35"/>
      <c r="C12" s="111">
        <v>0.076</v>
      </c>
      <c r="D12" s="22">
        <f>(D9*C12)-((D9*C14)*C12)</f>
        <v>9576</v>
      </c>
      <c r="F12" s="24">
        <v>0.03</v>
      </c>
      <c r="G12" s="22">
        <f>G9*F12</f>
        <v>9000</v>
      </c>
      <c r="I12" s="20"/>
      <c r="J12" s="21"/>
    </row>
    <row r="13" spans="2:10" ht="15" customHeight="1">
      <c r="B13" s="35" t="s">
        <v>1</v>
      </c>
      <c r="C13" s="10" t="s">
        <v>5</v>
      </c>
      <c r="D13" s="22">
        <f>D9-D10-D11-D12</f>
        <v>273345</v>
      </c>
      <c r="F13" s="20" t="s">
        <v>5</v>
      </c>
      <c r="G13" s="22">
        <f>G9-G10-G11-G12</f>
        <v>274050</v>
      </c>
      <c r="I13" s="20"/>
      <c r="J13" s="21"/>
    </row>
    <row r="14" spans="2:10" ht="15" customHeight="1">
      <c r="B14" s="35" t="s">
        <v>0</v>
      </c>
      <c r="C14" s="59">
        <v>0.58</v>
      </c>
      <c r="D14" s="22">
        <f>D9*C14</f>
        <v>174000</v>
      </c>
      <c r="F14" s="68">
        <f>C14</f>
        <v>0.58</v>
      </c>
      <c r="G14" s="22">
        <f>G9*F14</f>
        <v>174000</v>
      </c>
      <c r="I14" s="68">
        <f>C14</f>
        <v>0.58</v>
      </c>
      <c r="J14" s="22">
        <f>J9*I14</f>
        <v>174000</v>
      </c>
    </row>
    <row r="15" spans="2:10" ht="15" customHeight="1">
      <c r="B15" s="35" t="s">
        <v>1</v>
      </c>
      <c r="C15" s="10" t="s">
        <v>27</v>
      </c>
      <c r="D15" s="22">
        <f>D13-D14</f>
        <v>99345</v>
      </c>
      <c r="F15" s="20" t="s">
        <v>6</v>
      </c>
      <c r="G15" s="22">
        <f>G13-G14</f>
        <v>100050</v>
      </c>
      <c r="I15" s="20"/>
      <c r="J15" s="21"/>
    </row>
    <row r="16" spans="2:10" ht="15" customHeight="1">
      <c r="B16" s="35" t="s">
        <v>0</v>
      </c>
      <c r="C16" s="50">
        <v>0.03</v>
      </c>
      <c r="D16" s="22">
        <f>D9*C16</f>
        <v>9000</v>
      </c>
      <c r="F16" s="53">
        <f>C16</f>
        <v>0.03</v>
      </c>
      <c r="G16" s="22">
        <f>G9*F16</f>
        <v>9000</v>
      </c>
      <c r="I16" s="108">
        <f>C16</f>
        <v>0.03</v>
      </c>
      <c r="J16" s="22">
        <f>J9*I16</f>
        <v>9000</v>
      </c>
    </row>
    <row r="17" spans="2:10" ht="15" customHeight="1">
      <c r="B17" s="35" t="s">
        <v>0</v>
      </c>
      <c r="C17" s="51">
        <v>0.2</v>
      </c>
      <c r="D17" s="22">
        <f>D16*C17</f>
        <v>1800</v>
      </c>
      <c r="F17" s="54">
        <f>C17</f>
        <v>0.2</v>
      </c>
      <c r="G17" s="22">
        <f>D17</f>
        <v>1800</v>
      </c>
      <c r="I17" s="25"/>
      <c r="J17" s="22"/>
    </row>
    <row r="18" spans="2:10" ht="15" customHeight="1">
      <c r="B18" s="35" t="s">
        <v>0</v>
      </c>
      <c r="C18" s="52">
        <v>0</v>
      </c>
      <c r="D18" s="22">
        <f>D9*C18</f>
        <v>0</v>
      </c>
      <c r="F18" s="55">
        <f>C18</f>
        <v>0</v>
      </c>
      <c r="G18" s="22">
        <f>D18</f>
        <v>0</v>
      </c>
      <c r="I18" s="55">
        <f>C18</f>
        <v>0</v>
      </c>
      <c r="J18" s="22">
        <f>J9*I18</f>
        <v>0</v>
      </c>
    </row>
    <row r="19" spans="2:10" ht="15" customHeight="1">
      <c r="B19" s="35" t="s">
        <v>1</v>
      </c>
      <c r="C19" s="14" t="s">
        <v>8</v>
      </c>
      <c r="D19" s="43">
        <f>D15-D16-D17-D18</f>
        <v>88545</v>
      </c>
      <c r="F19" s="20" t="s">
        <v>8</v>
      </c>
      <c r="G19" s="43">
        <f>D19</f>
        <v>88545</v>
      </c>
      <c r="I19" s="20"/>
      <c r="J19" s="21"/>
    </row>
    <row r="20" spans="2:10" ht="15" customHeight="1">
      <c r="B20" s="35"/>
      <c r="C20" s="15">
        <v>0.09</v>
      </c>
      <c r="D20" s="22">
        <f>D19*C20</f>
        <v>7969.049999999999</v>
      </c>
      <c r="F20" s="26" t="s">
        <v>13</v>
      </c>
      <c r="G20" s="21"/>
      <c r="I20" s="20"/>
      <c r="J20" s="21"/>
    </row>
    <row r="21" spans="2:10" ht="15" customHeight="1">
      <c r="B21" s="35"/>
      <c r="C21" s="16" t="s">
        <v>10</v>
      </c>
      <c r="D21" s="22"/>
      <c r="F21" s="57">
        <v>0.12</v>
      </c>
      <c r="G21" s="22">
        <f>G9*F21</f>
        <v>36000</v>
      </c>
      <c r="I21" s="20"/>
      <c r="J21" s="21"/>
    </row>
    <row r="22" spans="2:10" ht="15" customHeight="1">
      <c r="B22" s="35"/>
      <c r="C22" s="17">
        <v>0.15</v>
      </c>
      <c r="D22" s="22">
        <f>D19*C22</f>
        <v>13281.75</v>
      </c>
      <c r="F22" s="28">
        <v>0.09</v>
      </c>
      <c r="G22" s="22">
        <f>G21*F22</f>
        <v>3240</v>
      </c>
      <c r="I22" s="20"/>
      <c r="J22" s="21"/>
    </row>
    <row r="23" spans="2:10" ht="15" customHeight="1">
      <c r="B23" s="35"/>
      <c r="D23" s="22"/>
      <c r="F23" s="26" t="s">
        <v>12</v>
      </c>
      <c r="G23" s="21"/>
      <c r="I23" s="39" t="s">
        <v>48</v>
      </c>
      <c r="J23" s="21"/>
    </row>
    <row r="24" spans="2:10" ht="15" customHeight="1">
      <c r="B24" s="35"/>
      <c r="D24" s="43">
        <f>D19-D20-D22</f>
        <v>67294.2</v>
      </c>
      <c r="F24" s="57">
        <v>0.32</v>
      </c>
      <c r="G24" s="22">
        <f>G9*F24</f>
        <v>96000</v>
      </c>
      <c r="I24" s="40">
        <f>VLOOKUP(J10,'Anexo III'!A4:C24,3)</f>
        <v>0.1742</v>
      </c>
      <c r="J24" s="22">
        <f>J9*I24</f>
        <v>52260</v>
      </c>
    </row>
    <row r="25" spans="2:10" ht="15" customHeight="1">
      <c r="B25" s="35"/>
      <c r="C25" s="48">
        <v>0.1</v>
      </c>
      <c r="D25" s="22">
        <f>IF(D24&gt;20000,(D24-20000)*C25,0)</f>
        <v>4729.42</v>
      </c>
      <c r="F25" s="29">
        <f>C22</f>
        <v>0.15</v>
      </c>
      <c r="G25" s="22">
        <f>G24*F25</f>
        <v>14400</v>
      </c>
      <c r="I25" s="20"/>
      <c r="J25" s="21"/>
    </row>
    <row r="26" spans="2:10" ht="15" customHeight="1">
      <c r="B26" s="35"/>
      <c r="D26" s="22"/>
      <c r="F26" s="44">
        <v>0.1</v>
      </c>
      <c r="G26" s="22">
        <f>IF(G24&gt;20000,(G24-20000)*F26,0)</f>
        <v>7600</v>
      </c>
      <c r="I26" s="20"/>
      <c r="J26" s="21"/>
    </row>
    <row r="27" spans="2:10" ht="15" customHeight="1">
      <c r="B27" s="35"/>
      <c r="D27" s="22"/>
      <c r="F27" s="20"/>
      <c r="G27" s="21"/>
      <c r="I27" s="20"/>
      <c r="J27" s="21"/>
    </row>
    <row r="28" spans="2:10" ht="15" customHeight="1">
      <c r="B28" s="35"/>
      <c r="C28" s="13" t="s">
        <v>7</v>
      </c>
      <c r="D28" s="43">
        <f>D24-D25</f>
        <v>62564.78</v>
      </c>
      <c r="F28" s="39" t="s">
        <v>11</v>
      </c>
      <c r="G28" s="43">
        <f>G19-G22-G25</f>
        <v>70905</v>
      </c>
      <c r="I28" s="39" t="s">
        <v>24</v>
      </c>
      <c r="J28" s="43">
        <f>J9-J11-J14-J16-J18-J24</f>
        <v>64740</v>
      </c>
    </row>
    <row r="29" spans="2:10" ht="15" customHeight="1">
      <c r="B29" s="36"/>
      <c r="C29" s="37"/>
      <c r="D29" s="38"/>
      <c r="F29" s="30"/>
      <c r="G29" s="31"/>
      <c r="I29" s="30"/>
      <c r="J29" s="31"/>
    </row>
    <row r="31" spans="3:9" ht="15" customHeight="1">
      <c r="C31" s="98">
        <f>D10+D11+D12+D17+D20+D22+D25</f>
        <v>54435.22</v>
      </c>
      <c r="F31" s="61">
        <f>C31</f>
        <v>54435.22</v>
      </c>
      <c r="I31" s="61">
        <f>C31</f>
        <v>54435.22</v>
      </c>
    </row>
    <row r="32" spans="3:9" ht="15" customHeight="1">
      <c r="C32" s="62">
        <f>G10+G11+G12+G17+G22+G25+G26</f>
        <v>52990</v>
      </c>
      <c r="F32" s="99">
        <f>C32</f>
        <v>52990</v>
      </c>
      <c r="I32" s="62">
        <f>C32</f>
        <v>52990</v>
      </c>
    </row>
    <row r="33" spans="3:9" ht="15" customHeight="1">
      <c r="C33" s="63">
        <f>J16+J24</f>
        <v>61260</v>
      </c>
      <c r="F33" s="63">
        <f>C33</f>
        <v>61260</v>
      </c>
      <c r="I33" s="100">
        <f>C33</f>
        <v>61260</v>
      </c>
    </row>
    <row r="34" spans="7:10" ht="15" customHeight="1">
      <c r="G34" s="11"/>
      <c r="J34" s="11"/>
    </row>
    <row r="35" spans="3:9" ht="15" customHeight="1">
      <c r="C35" s="64">
        <f>G28</f>
        <v>70905</v>
      </c>
      <c r="F35" s="66">
        <f>D28</f>
        <v>62564.78</v>
      </c>
      <c r="G35" s="11"/>
      <c r="I35" s="64">
        <f>G28</f>
        <v>70905</v>
      </c>
    </row>
    <row r="36" spans="3:9" ht="15" customHeight="1">
      <c r="C36" s="65">
        <f>J28</f>
        <v>64740</v>
      </c>
      <c r="F36" s="65">
        <f>J28</f>
        <v>64740</v>
      </c>
      <c r="I36" s="67">
        <f>D28</f>
        <v>62564.78</v>
      </c>
    </row>
  </sheetData>
  <sheetProtection sheet="1"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  <oleObjects>
    <oleObject progId="Apresentação" dvAspect="DVASPECT_ICON" shapeId="190736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2">
      <selection activeCell="C35" sqref="C35"/>
    </sheetView>
  </sheetViews>
  <sheetFormatPr defaultColWidth="9.140625" defaultRowHeight="15"/>
  <cols>
    <col min="1" max="1" width="13.57421875" style="0" customWidth="1"/>
    <col min="2" max="2" width="12.28125" style="0" bestFit="1" customWidth="1"/>
  </cols>
  <sheetData>
    <row r="1" spans="1:10" ht="15">
      <c r="A1" s="1" t="s">
        <v>33</v>
      </c>
      <c r="B1" s="2"/>
      <c r="C1" s="2"/>
      <c r="D1" s="2"/>
      <c r="E1" s="3"/>
      <c r="F1" s="2"/>
      <c r="G1" s="3"/>
      <c r="H1" s="2"/>
      <c r="I1" s="2"/>
      <c r="J1" s="3"/>
    </row>
    <row r="2" spans="1:9" ht="15">
      <c r="A2" s="1"/>
      <c r="B2" s="2"/>
      <c r="C2" s="4"/>
      <c r="D2" s="2"/>
      <c r="E2" s="49"/>
      <c r="F2" s="2"/>
      <c r="G2" s="3"/>
      <c r="H2" s="2"/>
      <c r="I2" s="2"/>
    </row>
    <row r="3" spans="1:10" ht="15">
      <c r="A3" s="113" t="s">
        <v>31</v>
      </c>
      <c r="B3" s="113"/>
      <c r="C3" s="101" t="s">
        <v>23</v>
      </c>
      <c r="D3" s="83" t="s">
        <v>19</v>
      </c>
      <c r="E3" s="83" t="s">
        <v>20</v>
      </c>
      <c r="F3" s="83" t="s">
        <v>3</v>
      </c>
      <c r="G3" s="83" t="s">
        <v>21</v>
      </c>
      <c r="H3" s="83" t="s">
        <v>22</v>
      </c>
      <c r="I3" s="83" t="s">
        <v>32</v>
      </c>
      <c r="J3" t="s">
        <v>23</v>
      </c>
    </row>
    <row r="4" spans="1:10" ht="15.75" thickBot="1">
      <c r="A4" s="82">
        <v>0</v>
      </c>
      <c r="B4" s="82">
        <v>120000</v>
      </c>
      <c r="C4" s="85">
        <v>0.06</v>
      </c>
      <c r="D4" s="86">
        <v>0</v>
      </c>
      <c r="E4" s="86">
        <v>0</v>
      </c>
      <c r="F4" s="86">
        <v>0</v>
      </c>
      <c r="G4" s="86">
        <v>0</v>
      </c>
      <c r="H4" s="86">
        <v>0.04</v>
      </c>
      <c r="I4" s="107">
        <v>0.02</v>
      </c>
      <c r="J4" s="106">
        <f>SUM(D4:I4)</f>
        <v>0.06</v>
      </c>
    </row>
    <row r="5" spans="1:10" ht="15.75" thickBot="1">
      <c r="A5" s="82">
        <f>B4+0.01</f>
        <v>120000.01</v>
      </c>
      <c r="B5" s="82">
        <f>240000</f>
        <v>240000</v>
      </c>
      <c r="C5" s="85">
        <v>0.0821</v>
      </c>
      <c r="D5" s="86">
        <v>0</v>
      </c>
      <c r="E5" s="86">
        <v>0</v>
      </c>
      <c r="F5" s="86">
        <v>0.0142</v>
      </c>
      <c r="G5" s="86">
        <v>0</v>
      </c>
      <c r="H5" s="86">
        <v>0.04</v>
      </c>
      <c r="I5" s="107">
        <v>0.0279</v>
      </c>
      <c r="J5" s="106">
        <f aca="true" t="shared" si="0" ref="J5:J23">SUM(D5:I5)</f>
        <v>0.0821</v>
      </c>
    </row>
    <row r="6" spans="1:10" ht="15.75" thickBot="1">
      <c r="A6" s="82">
        <f aca="true" t="shared" si="1" ref="A6:A22">B5+0.01</f>
        <v>240000.01</v>
      </c>
      <c r="B6" s="82">
        <f>360000</f>
        <v>360000</v>
      </c>
      <c r="C6" s="85">
        <v>0.1026</v>
      </c>
      <c r="D6" s="86">
        <v>0.0048</v>
      </c>
      <c r="E6" s="86">
        <v>0.0043</v>
      </c>
      <c r="F6" s="86">
        <v>0.0143</v>
      </c>
      <c r="G6" s="86">
        <v>0.0035</v>
      </c>
      <c r="H6" s="86">
        <v>0.0407</v>
      </c>
      <c r="I6" s="107">
        <v>0.035</v>
      </c>
      <c r="J6" s="106">
        <f t="shared" si="0"/>
        <v>0.1026</v>
      </c>
    </row>
    <row r="7" spans="1:10" ht="15.75" thickBot="1">
      <c r="A7" s="82">
        <f t="shared" si="1"/>
        <v>360000.01</v>
      </c>
      <c r="B7" s="82">
        <f>480000</f>
        <v>480000</v>
      </c>
      <c r="C7" s="85">
        <v>0.1131</v>
      </c>
      <c r="D7" s="86">
        <v>0.0053</v>
      </c>
      <c r="E7" s="86">
        <v>0.0053</v>
      </c>
      <c r="F7" s="86">
        <v>0.0156</v>
      </c>
      <c r="G7" s="86">
        <v>0.0038</v>
      </c>
      <c r="H7" s="86">
        <v>0.0447</v>
      </c>
      <c r="I7" s="107">
        <v>0.0384</v>
      </c>
      <c r="J7" s="106">
        <f t="shared" si="0"/>
        <v>0.1131</v>
      </c>
    </row>
    <row r="8" spans="1:10" ht="15.75" thickBot="1">
      <c r="A8" s="82">
        <f t="shared" si="1"/>
        <v>480000.01</v>
      </c>
      <c r="B8" s="82">
        <f>600000</f>
        <v>600000</v>
      </c>
      <c r="C8" s="85">
        <v>0.114</v>
      </c>
      <c r="D8" s="86">
        <v>0.0053</v>
      </c>
      <c r="E8" s="86">
        <v>0.0052</v>
      </c>
      <c r="F8" s="86">
        <v>0.0158</v>
      </c>
      <c r="G8" s="86">
        <v>0.0038</v>
      </c>
      <c r="H8" s="86">
        <v>0.0452</v>
      </c>
      <c r="I8" s="107">
        <v>0.0387</v>
      </c>
      <c r="J8" s="106">
        <f t="shared" si="0"/>
        <v>0.114</v>
      </c>
    </row>
    <row r="9" spans="1:10" ht="15.75" thickBot="1">
      <c r="A9" s="82">
        <f t="shared" si="1"/>
        <v>600000.01</v>
      </c>
      <c r="B9" s="82">
        <f>720000</f>
        <v>720000</v>
      </c>
      <c r="C9" s="85">
        <v>0.1242</v>
      </c>
      <c r="D9" s="86">
        <v>0.0057</v>
      </c>
      <c r="E9" s="86">
        <v>0.0057</v>
      </c>
      <c r="F9" s="86">
        <v>0.0173</v>
      </c>
      <c r="G9" s="86">
        <v>0.004</v>
      </c>
      <c r="H9" s="86">
        <v>0.0492</v>
      </c>
      <c r="I9" s="107">
        <v>0.0423</v>
      </c>
      <c r="J9" s="106">
        <f t="shared" si="0"/>
        <v>0.1242</v>
      </c>
    </row>
    <row r="10" spans="1:10" ht="15.75" thickBot="1">
      <c r="A10" s="82">
        <f t="shared" si="1"/>
        <v>720000.01</v>
      </c>
      <c r="B10" s="82">
        <f>840000</f>
        <v>840000</v>
      </c>
      <c r="C10" s="85">
        <v>0.1254</v>
      </c>
      <c r="D10" s="86">
        <v>0.0059</v>
      </c>
      <c r="E10" s="86">
        <v>0.0056</v>
      </c>
      <c r="F10" s="86">
        <v>0.0174</v>
      </c>
      <c r="G10" s="86">
        <v>0.0042</v>
      </c>
      <c r="H10" s="86">
        <v>0.0497</v>
      </c>
      <c r="I10" s="107">
        <v>0.0426</v>
      </c>
      <c r="J10" s="106">
        <f t="shared" si="0"/>
        <v>0.1254</v>
      </c>
    </row>
    <row r="11" spans="1:10" ht="15.75" thickBot="1">
      <c r="A11" s="82">
        <f t="shared" si="1"/>
        <v>840000.01</v>
      </c>
      <c r="B11" s="82">
        <f>960000</f>
        <v>960000</v>
      </c>
      <c r="C11" s="85">
        <v>0.1268</v>
      </c>
      <c r="D11" s="86">
        <v>0.0059</v>
      </c>
      <c r="E11" s="86">
        <v>0.0057</v>
      </c>
      <c r="F11" s="86">
        <v>0.0176</v>
      </c>
      <c r="G11" s="86">
        <v>0.0042</v>
      </c>
      <c r="H11" s="86">
        <v>0.0503</v>
      </c>
      <c r="I11" s="107">
        <v>0.0431</v>
      </c>
      <c r="J11" s="106">
        <f t="shared" si="0"/>
        <v>0.1268</v>
      </c>
    </row>
    <row r="12" spans="1:10" ht="15.75" thickBot="1">
      <c r="A12" s="82">
        <f t="shared" si="1"/>
        <v>960000.01</v>
      </c>
      <c r="B12" s="82">
        <f>1080000</f>
        <v>1080000</v>
      </c>
      <c r="C12" s="85">
        <v>0.1355</v>
      </c>
      <c r="D12" s="86">
        <v>0.0063</v>
      </c>
      <c r="E12" s="86">
        <v>0.0061</v>
      </c>
      <c r="F12" s="86">
        <v>0.0188</v>
      </c>
      <c r="G12" s="86">
        <v>0.0045</v>
      </c>
      <c r="H12" s="86">
        <v>0.0537</v>
      </c>
      <c r="I12" s="107">
        <v>0.0461</v>
      </c>
      <c r="J12" s="106">
        <f t="shared" si="0"/>
        <v>0.1355</v>
      </c>
    </row>
    <row r="13" spans="1:10" ht="15.75" thickBot="1">
      <c r="A13" s="82">
        <f t="shared" si="1"/>
        <v>1080000.01</v>
      </c>
      <c r="B13" s="82">
        <f>1200000</f>
        <v>1200000</v>
      </c>
      <c r="C13" s="85">
        <v>0.1368</v>
      </c>
      <c r="D13" s="86">
        <v>0.0063</v>
      </c>
      <c r="E13" s="86">
        <v>0.0064</v>
      </c>
      <c r="F13" s="86">
        <v>0.0189</v>
      </c>
      <c r="G13" s="86">
        <v>0.0045</v>
      </c>
      <c r="H13" s="86">
        <v>0.0542</v>
      </c>
      <c r="I13" s="107">
        <v>0.0465</v>
      </c>
      <c r="J13" s="106">
        <f t="shared" si="0"/>
        <v>0.13679999999999998</v>
      </c>
    </row>
    <row r="14" spans="1:10" ht="15.75" thickBot="1">
      <c r="A14" s="82">
        <f t="shared" si="1"/>
        <v>1200000.01</v>
      </c>
      <c r="B14" s="82">
        <f>1320000</f>
        <v>1320000</v>
      </c>
      <c r="C14" s="85">
        <v>0.1493</v>
      </c>
      <c r="D14" s="86">
        <v>0.0069</v>
      </c>
      <c r="E14" s="86">
        <v>0.0069</v>
      </c>
      <c r="F14" s="86">
        <v>0.0207</v>
      </c>
      <c r="G14" s="86">
        <v>0.005</v>
      </c>
      <c r="H14" s="86">
        <v>0.0598</v>
      </c>
      <c r="I14" s="107">
        <v>0.05</v>
      </c>
      <c r="J14" s="106">
        <f t="shared" si="0"/>
        <v>0.1493</v>
      </c>
    </row>
    <row r="15" spans="1:10" ht="15.75" thickBot="1">
      <c r="A15" s="82">
        <f t="shared" si="1"/>
        <v>1320000.01</v>
      </c>
      <c r="B15" s="82">
        <f>1440000</f>
        <v>1440000</v>
      </c>
      <c r="C15" s="85">
        <v>0.1506</v>
      </c>
      <c r="D15" s="86">
        <v>0.0069</v>
      </c>
      <c r="E15" s="86">
        <v>0.0069</v>
      </c>
      <c r="F15" s="86">
        <v>0.0209</v>
      </c>
      <c r="G15" s="86">
        <v>0.005</v>
      </c>
      <c r="H15" s="86">
        <v>0.0609</v>
      </c>
      <c r="I15" s="107">
        <v>0.05</v>
      </c>
      <c r="J15" s="106">
        <f t="shared" si="0"/>
        <v>0.1506</v>
      </c>
    </row>
    <row r="16" spans="1:10" ht="15.75" thickBot="1">
      <c r="A16" s="82">
        <f t="shared" si="1"/>
        <v>1440000.01</v>
      </c>
      <c r="B16" s="82">
        <f>1560000</f>
        <v>1560000</v>
      </c>
      <c r="C16" s="85">
        <v>0.152</v>
      </c>
      <c r="D16" s="86">
        <v>0.0071</v>
      </c>
      <c r="E16" s="86">
        <v>0.007</v>
      </c>
      <c r="F16" s="86">
        <v>0.021</v>
      </c>
      <c r="G16" s="86">
        <v>0.005</v>
      </c>
      <c r="H16" s="86">
        <v>0.0619</v>
      </c>
      <c r="I16" s="107">
        <v>0.05</v>
      </c>
      <c r="J16" s="106">
        <f t="shared" si="0"/>
        <v>0.15200000000000002</v>
      </c>
    </row>
    <row r="17" spans="1:10" ht="15.75" thickBot="1">
      <c r="A17" s="82">
        <f t="shared" si="1"/>
        <v>1560000.01</v>
      </c>
      <c r="B17" s="82">
        <f>1680000</f>
        <v>1680000</v>
      </c>
      <c r="C17" s="85">
        <v>0.1535</v>
      </c>
      <c r="D17" s="86">
        <v>0.0071</v>
      </c>
      <c r="E17" s="86">
        <v>0.007</v>
      </c>
      <c r="F17" s="86">
        <v>0.0213</v>
      </c>
      <c r="G17" s="86">
        <v>0.0051</v>
      </c>
      <c r="H17" s="86">
        <v>0.063</v>
      </c>
      <c r="I17" s="107">
        <v>0.05</v>
      </c>
      <c r="J17" s="106">
        <f t="shared" si="0"/>
        <v>0.15350000000000003</v>
      </c>
    </row>
    <row r="18" spans="1:10" ht="15.75" thickBot="1">
      <c r="A18" s="82">
        <f t="shared" si="1"/>
        <v>1680000.01</v>
      </c>
      <c r="B18" s="82">
        <f>1800000</f>
        <v>1800000</v>
      </c>
      <c r="C18" s="85">
        <v>0.1548</v>
      </c>
      <c r="D18" s="86">
        <v>0.0072</v>
      </c>
      <c r="E18" s="86">
        <v>0.007</v>
      </c>
      <c r="F18" s="86">
        <v>0.0215</v>
      </c>
      <c r="G18" s="86">
        <v>0.0051</v>
      </c>
      <c r="H18" s="86">
        <v>0.064</v>
      </c>
      <c r="I18" s="107">
        <v>0.05</v>
      </c>
      <c r="J18" s="106">
        <f t="shared" si="0"/>
        <v>0.1548</v>
      </c>
    </row>
    <row r="19" spans="1:10" ht="15.75" thickBot="1">
      <c r="A19" s="82">
        <f t="shared" si="1"/>
        <v>1800000.01</v>
      </c>
      <c r="B19" s="82">
        <f>1920000</f>
        <v>1920000</v>
      </c>
      <c r="C19" s="85">
        <v>0.1685</v>
      </c>
      <c r="D19" s="86">
        <v>0.0078</v>
      </c>
      <c r="E19" s="86">
        <v>0.0076</v>
      </c>
      <c r="F19" s="86">
        <v>0.0234</v>
      </c>
      <c r="G19" s="86">
        <v>0.0056</v>
      </c>
      <c r="H19" s="86">
        <v>0.0741</v>
      </c>
      <c r="I19" s="107">
        <v>0.05</v>
      </c>
      <c r="J19" s="106">
        <f t="shared" si="0"/>
        <v>0.16849999999999998</v>
      </c>
    </row>
    <row r="20" spans="1:10" ht="15.75" thickBot="1">
      <c r="A20" s="82">
        <f t="shared" si="1"/>
        <v>1920000.01</v>
      </c>
      <c r="B20" s="82">
        <f>2040000</f>
        <v>2040000</v>
      </c>
      <c r="C20" s="85">
        <v>0.1698</v>
      </c>
      <c r="D20" s="86">
        <v>0.0078</v>
      </c>
      <c r="E20" s="86">
        <v>0.0078</v>
      </c>
      <c r="F20" s="86">
        <v>0.0236</v>
      </c>
      <c r="G20" s="86">
        <v>0.0056</v>
      </c>
      <c r="H20" s="86">
        <v>0.075</v>
      </c>
      <c r="I20" s="107">
        <v>0.05</v>
      </c>
      <c r="J20" s="106">
        <f t="shared" si="0"/>
        <v>0.1698</v>
      </c>
    </row>
    <row r="21" spans="1:10" ht="15.75" thickBot="1">
      <c r="A21" s="82">
        <f t="shared" si="1"/>
        <v>2040000.01</v>
      </c>
      <c r="B21" s="82">
        <f>2160000</f>
        <v>2160000</v>
      </c>
      <c r="C21" s="85">
        <v>0.1713</v>
      </c>
      <c r="D21" s="86">
        <v>0.008</v>
      </c>
      <c r="E21" s="86">
        <v>0.0079</v>
      </c>
      <c r="F21" s="86">
        <v>0.0237</v>
      </c>
      <c r="G21" s="86">
        <v>0.0057</v>
      </c>
      <c r="H21" s="86">
        <v>0.076</v>
      </c>
      <c r="I21" s="107">
        <v>0.05</v>
      </c>
      <c r="J21" s="106">
        <f t="shared" si="0"/>
        <v>0.1713</v>
      </c>
    </row>
    <row r="22" spans="1:10" ht="15.75" thickBot="1">
      <c r="A22" s="82">
        <f t="shared" si="1"/>
        <v>2160000.01</v>
      </c>
      <c r="B22" s="82">
        <f>2280000</f>
        <v>2280000</v>
      </c>
      <c r="C22" s="85">
        <v>0.1727</v>
      </c>
      <c r="D22" s="86">
        <v>0.008</v>
      </c>
      <c r="E22" s="86">
        <v>0.0079</v>
      </c>
      <c r="F22" s="86">
        <v>0.024</v>
      </c>
      <c r="G22" s="86">
        <v>0.0057</v>
      </c>
      <c r="H22" s="86">
        <v>0.0771</v>
      </c>
      <c r="I22" s="107">
        <v>0.05</v>
      </c>
      <c r="J22" s="106">
        <f t="shared" si="0"/>
        <v>0.17270000000000002</v>
      </c>
    </row>
    <row r="23" spans="1:10" ht="15.75" thickBot="1">
      <c r="A23" s="82">
        <f>2280000.01</f>
        <v>2280000.01</v>
      </c>
      <c r="B23" s="82">
        <v>2400000</v>
      </c>
      <c r="C23" s="85">
        <v>0.1742</v>
      </c>
      <c r="D23" s="86">
        <v>0.0081</v>
      </c>
      <c r="E23" s="86">
        <v>0.0079</v>
      </c>
      <c r="F23" s="86">
        <v>0.0242</v>
      </c>
      <c r="G23" s="86">
        <v>0.0057</v>
      </c>
      <c r="H23" s="86">
        <v>0.0783</v>
      </c>
      <c r="I23" s="107">
        <v>0.05</v>
      </c>
      <c r="J23" s="106">
        <f t="shared" si="0"/>
        <v>0.1742</v>
      </c>
    </row>
    <row r="24" spans="1:9" ht="15">
      <c r="A24" s="82">
        <f>2400000*1.2</f>
        <v>2880000</v>
      </c>
      <c r="B24" s="82"/>
      <c r="C24" s="85">
        <v>0.1742</v>
      </c>
      <c r="D24" s="85"/>
      <c r="E24" s="85"/>
      <c r="F24" s="85"/>
      <c r="G24" s="85"/>
      <c r="H24" s="85"/>
      <c r="I24" s="85"/>
    </row>
  </sheetData>
  <sheetProtection sheet="1"/>
  <mergeCells count="1">
    <mergeCell ref="A3:B3"/>
  </mergeCells>
  <hyperlinks>
    <hyperlink ref="D3" r:id="rId1" display="http://www.planalto.gov.br/ccivil_03/Leis/LCP/Lcp128.htm"/>
    <hyperlink ref="E3" r:id="rId2" display="http://www.planalto.gov.br/ccivil_03/Leis/LCP/Lcp128.htm"/>
    <hyperlink ref="F3" r:id="rId3" display="http://www.planalto.gov.br/ccivil_03/Leis/LCP/Lcp128.htm"/>
    <hyperlink ref="G3" r:id="rId4" display="http://www.planalto.gov.br/ccivil_03/Leis/LCP/Lcp128.htm"/>
    <hyperlink ref="H3" r:id="rId5" display="http://www.planalto.gov.br/ccivil_03/Leis/LCP/Lcp128.htm"/>
  </hyperlinks>
  <printOptions/>
  <pageMargins left="0.511811024" right="0.511811024" top="0.787401575" bottom="0.787401575" header="0.31496062" footer="0.31496062"/>
  <pageSetup horizontalDpi="600" verticalDpi="600" orientation="portrait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6"/>
  <sheetViews>
    <sheetView zoomScalePageLayoutView="0" workbookViewId="0" topLeftCell="A1">
      <selection activeCell="F6" sqref="F6"/>
    </sheetView>
  </sheetViews>
  <sheetFormatPr defaultColWidth="9.140625" defaultRowHeight="15" customHeight="1"/>
  <cols>
    <col min="1" max="1" width="2.7109375" style="10" customWidth="1"/>
    <col min="2" max="2" width="3.140625" style="12" customWidth="1"/>
    <col min="3" max="3" width="41.28125" style="10" customWidth="1"/>
    <col min="4" max="4" width="14.7109375" style="11" bestFit="1" customWidth="1"/>
    <col min="5" max="5" width="2.140625" style="12" customWidth="1"/>
    <col min="6" max="6" width="44.57421875" style="10" customWidth="1"/>
    <col min="7" max="7" width="14.7109375" style="10" bestFit="1" customWidth="1"/>
    <col min="8" max="8" width="2.00390625" style="10" customWidth="1"/>
    <col min="9" max="9" width="43.00390625" style="10" customWidth="1"/>
    <col min="10" max="10" width="17.421875" style="10" customWidth="1"/>
    <col min="11" max="16384" width="9.140625" style="10" customWidth="1"/>
  </cols>
  <sheetData>
    <row r="2" spans="3:10" ht="26.25" customHeight="1">
      <c r="C2" s="56" t="s">
        <v>35</v>
      </c>
      <c r="D2" s="10"/>
      <c r="J2" s="13"/>
    </row>
    <row r="5" spans="2:10" ht="15" customHeight="1">
      <c r="B5" s="9" t="s">
        <v>9</v>
      </c>
      <c r="G5" s="10" t="s">
        <v>38</v>
      </c>
      <c r="J5" s="58"/>
    </row>
    <row r="7" spans="2:10" ht="15" customHeight="1">
      <c r="B7" s="32"/>
      <c r="C7" s="33" t="s">
        <v>14</v>
      </c>
      <c r="D7" s="34"/>
      <c r="F7" s="18" t="s">
        <v>15</v>
      </c>
      <c r="G7" s="19"/>
      <c r="I7" s="18" t="s">
        <v>16</v>
      </c>
      <c r="J7" s="19"/>
    </row>
    <row r="8" spans="2:10" ht="15" customHeight="1">
      <c r="B8" s="35"/>
      <c r="D8" s="22"/>
      <c r="F8" s="20"/>
      <c r="G8" s="21"/>
      <c r="I8" s="20"/>
      <c r="J8" s="21"/>
    </row>
    <row r="9" spans="2:10" ht="15" customHeight="1">
      <c r="B9" s="35"/>
      <c r="C9" s="10" t="s">
        <v>4</v>
      </c>
      <c r="D9" s="42">
        <v>300000</v>
      </c>
      <c r="F9" s="20" t="s">
        <v>4</v>
      </c>
      <c r="G9" s="22">
        <f>D9</f>
        <v>300000</v>
      </c>
      <c r="I9" s="20" t="s">
        <v>50</v>
      </c>
      <c r="J9" s="22">
        <f>G9</f>
        <v>300000</v>
      </c>
    </row>
    <row r="10" spans="2:10" ht="15" customHeight="1">
      <c r="B10" s="35"/>
      <c r="C10" s="46">
        <v>0.05</v>
      </c>
      <c r="D10" s="22">
        <f>(D9*C10)</f>
        <v>15000</v>
      </c>
      <c r="F10" s="47">
        <f>C10</f>
        <v>0.05</v>
      </c>
      <c r="G10" s="22">
        <f>D10</f>
        <v>15000</v>
      </c>
      <c r="I10" s="20" t="s">
        <v>26</v>
      </c>
      <c r="J10" s="22">
        <f>G9*12</f>
        <v>3600000</v>
      </c>
    </row>
    <row r="11" spans="2:10" ht="15" customHeight="1">
      <c r="B11" s="35"/>
      <c r="C11" s="109">
        <v>0.0165</v>
      </c>
      <c r="D11" s="22">
        <f>(D9*C11)-((D9*C14)*C11)</f>
        <v>2079</v>
      </c>
      <c r="F11" s="23">
        <v>0.0065</v>
      </c>
      <c r="G11" s="22">
        <f>G9*F11</f>
        <v>1950</v>
      </c>
      <c r="I11" s="20"/>
      <c r="J11" s="22"/>
    </row>
    <row r="12" spans="2:10" ht="15" customHeight="1">
      <c r="B12" s="35"/>
      <c r="C12" s="112">
        <v>0.076</v>
      </c>
      <c r="D12" s="22">
        <f>(D9*C12)-((D9*C14)*C12)</f>
        <v>9576</v>
      </c>
      <c r="F12" s="24">
        <v>0.03</v>
      </c>
      <c r="G12" s="22">
        <f>G9*F12</f>
        <v>9000</v>
      </c>
      <c r="I12" s="20"/>
      <c r="J12" s="21"/>
    </row>
    <row r="13" spans="2:10" ht="15" customHeight="1">
      <c r="B13" s="35" t="s">
        <v>1</v>
      </c>
      <c r="C13" s="10" t="s">
        <v>5</v>
      </c>
      <c r="D13" s="22">
        <f>D9-D10-D11-D12</f>
        <v>273345</v>
      </c>
      <c r="F13" s="20" t="s">
        <v>5</v>
      </c>
      <c r="G13" s="22">
        <f>G9-G10-G11-G12</f>
        <v>274050</v>
      </c>
      <c r="I13" s="20"/>
      <c r="J13" s="21"/>
    </row>
    <row r="14" spans="2:10" ht="15" customHeight="1">
      <c r="B14" s="35" t="s">
        <v>0</v>
      </c>
      <c r="C14" s="60">
        <v>0.58</v>
      </c>
      <c r="D14" s="22">
        <f>D9*C14</f>
        <v>174000</v>
      </c>
      <c r="F14" s="68">
        <f>C14</f>
        <v>0.58</v>
      </c>
      <c r="G14" s="22">
        <f>G9*F14</f>
        <v>174000</v>
      </c>
      <c r="I14" s="68">
        <f>C14</f>
        <v>0.58</v>
      </c>
      <c r="J14" s="22">
        <f>J9*I14</f>
        <v>174000</v>
      </c>
    </row>
    <row r="15" spans="2:10" ht="15" customHeight="1">
      <c r="B15" s="35" t="s">
        <v>1</v>
      </c>
      <c r="C15" s="10" t="s">
        <v>27</v>
      </c>
      <c r="D15" s="22">
        <f>D13-D14</f>
        <v>99345</v>
      </c>
      <c r="F15" s="20" t="s">
        <v>6</v>
      </c>
      <c r="G15" s="22">
        <f>G13-G14</f>
        <v>100050</v>
      </c>
      <c r="I15" s="20"/>
      <c r="J15" s="21"/>
    </row>
    <row r="16" spans="2:10" ht="15" customHeight="1">
      <c r="B16" s="35" t="s">
        <v>0</v>
      </c>
      <c r="C16" s="50">
        <v>0.1</v>
      </c>
      <c r="D16" s="22">
        <f>D9*C16</f>
        <v>30000</v>
      </c>
      <c r="F16" s="53">
        <f>C16</f>
        <v>0.1</v>
      </c>
      <c r="G16" s="22">
        <f>G9*F16</f>
        <v>30000</v>
      </c>
      <c r="I16" s="108">
        <f>C16</f>
        <v>0.1</v>
      </c>
      <c r="J16" s="22">
        <f>J9*I16</f>
        <v>30000</v>
      </c>
    </row>
    <row r="17" spans="2:10" ht="15" customHeight="1">
      <c r="B17" s="35" t="s">
        <v>0</v>
      </c>
      <c r="C17" s="51">
        <v>0.275</v>
      </c>
      <c r="D17" s="22">
        <f>D16*C17</f>
        <v>8250</v>
      </c>
      <c r="F17" s="54">
        <f>C17</f>
        <v>0.275</v>
      </c>
      <c r="G17" s="22">
        <f>D17</f>
        <v>8250</v>
      </c>
      <c r="I17" s="25"/>
      <c r="J17" s="22"/>
    </row>
    <row r="18" spans="2:10" ht="15" customHeight="1">
      <c r="B18" s="35" t="s">
        <v>0</v>
      </c>
      <c r="C18" s="52">
        <v>0.02</v>
      </c>
      <c r="D18" s="22">
        <f>D9*C18</f>
        <v>6000</v>
      </c>
      <c r="F18" s="55">
        <f>C18</f>
        <v>0.02</v>
      </c>
      <c r="G18" s="22">
        <f>D18</f>
        <v>6000</v>
      </c>
      <c r="I18" s="54">
        <f>F17</f>
        <v>0.275</v>
      </c>
      <c r="J18" s="22">
        <f>G17</f>
        <v>8250</v>
      </c>
    </row>
    <row r="19" spans="2:10" ht="15" customHeight="1">
      <c r="B19" s="35" t="s">
        <v>1</v>
      </c>
      <c r="C19" s="14" t="s">
        <v>8</v>
      </c>
      <c r="D19" s="43">
        <f>D15-D16-D17-D18</f>
        <v>55095</v>
      </c>
      <c r="F19" s="20" t="s">
        <v>8</v>
      </c>
      <c r="G19" s="43">
        <f>D19</f>
        <v>55095</v>
      </c>
      <c r="I19" s="20"/>
      <c r="J19" s="21"/>
    </row>
    <row r="20" spans="2:10" ht="15" customHeight="1">
      <c r="B20" s="35"/>
      <c r="C20" s="15">
        <v>0.09</v>
      </c>
      <c r="D20" s="22">
        <f>D19*C20</f>
        <v>4958.55</v>
      </c>
      <c r="F20" s="26" t="s">
        <v>13</v>
      </c>
      <c r="G20" s="21"/>
      <c r="I20" s="55">
        <f>C18</f>
        <v>0.02</v>
      </c>
      <c r="J20" s="22">
        <f>J9*I20</f>
        <v>6000</v>
      </c>
    </row>
    <row r="21" spans="2:10" ht="15" customHeight="1">
      <c r="B21" s="35"/>
      <c r="C21" s="16" t="s">
        <v>10</v>
      </c>
      <c r="D21" s="22"/>
      <c r="F21" s="57">
        <v>0.12</v>
      </c>
      <c r="G21" s="22">
        <f>G9*F21</f>
        <v>36000</v>
      </c>
      <c r="I21" s="20"/>
      <c r="J21" s="21"/>
    </row>
    <row r="22" spans="2:10" ht="15" customHeight="1">
      <c r="B22" s="35"/>
      <c r="C22" s="17">
        <v>0.15</v>
      </c>
      <c r="D22" s="22">
        <f>D19*C22</f>
        <v>8264.25</v>
      </c>
      <c r="F22" s="28">
        <v>0.09</v>
      </c>
      <c r="G22" s="22">
        <f>G21*F22</f>
        <v>3240</v>
      </c>
      <c r="I22" s="20"/>
      <c r="J22" s="21"/>
    </row>
    <row r="23" spans="2:10" ht="15" customHeight="1">
      <c r="B23" s="35"/>
      <c r="D23" s="22"/>
      <c r="F23" s="26" t="s">
        <v>12</v>
      </c>
      <c r="G23" s="21"/>
      <c r="I23" s="39" t="s">
        <v>49</v>
      </c>
      <c r="J23" s="21"/>
    </row>
    <row r="24" spans="2:10" ht="15" customHeight="1">
      <c r="B24" s="35"/>
      <c r="D24" s="43">
        <f>D19-D20-D22</f>
        <v>41872.2</v>
      </c>
      <c r="F24" s="57">
        <v>0.32</v>
      </c>
      <c r="G24" s="22">
        <f>G9*F24</f>
        <v>96000</v>
      </c>
      <c r="I24" s="40">
        <f>VLOOKUP(J10,'Anexo IV'!A4:D24,3)</f>
        <v>0.1685</v>
      </c>
      <c r="J24" s="22">
        <f>J9*I24</f>
        <v>50550</v>
      </c>
    </row>
    <row r="25" spans="2:10" ht="15" customHeight="1">
      <c r="B25" s="35"/>
      <c r="C25" s="48">
        <v>0.1</v>
      </c>
      <c r="D25" s="22">
        <f>IF(D24&gt;20000,(D24-20000)*C25,0)</f>
        <v>2187.22</v>
      </c>
      <c r="F25" s="29">
        <f>C22</f>
        <v>0.15</v>
      </c>
      <c r="G25" s="22">
        <f>G24*F25</f>
        <v>14400</v>
      </c>
      <c r="I25" s="20"/>
      <c r="J25" s="21"/>
    </row>
    <row r="26" spans="2:10" ht="15" customHeight="1">
      <c r="B26" s="35"/>
      <c r="D26" s="22"/>
      <c r="F26" s="44">
        <v>0.1</v>
      </c>
      <c r="G26" s="22">
        <f>IF(G24&gt;20000,(G24-20000)*F26,0)</f>
        <v>7600</v>
      </c>
      <c r="I26" s="20"/>
      <c r="J26" s="21"/>
    </row>
    <row r="27" spans="2:10" ht="15" customHeight="1">
      <c r="B27" s="35"/>
      <c r="D27" s="22"/>
      <c r="F27" s="20"/>
      <c r="G27" s="21"/>
      <c r="I27" s="20"/>
      <c r="J27" s="21"/>
    </row>
    <row r="28" spans="2:10" ht="15" customHeight="1">
      <c r="B28" s="35"/>
      <c r="C28" s="13" t="s">
        <v>7</v>
      </c>
      <c r="D28" s="43">
        <f>D24-D25</f>
        <v>39684.979999999996</v>
      </c>
      <c r="F28" s="39" t="s">
        <v>11</v>
      </c>
      <c r="G28" s="43">
        <f>G19-G22-G25</f>
        <v>37455</v>
      </c>
      <c r="I28" s="39" t="s">
        <v>24</v>
      </c>
      <c r="J28" s="43">
        <f>J9-J14-J16-J18-J20-J24</f>
        <v>31200</v>
      </c>
    </row>
    <row r="29" spans="2:10" ht="15" customHeight="1">
      <c r="B29" s="36"/>
      <c r="C29" s="37"/>
      <c r="D29" s="38"/>
      <c r="F29" s="30"/>
      <c r="G29" s="31"/>
      <c r="I29" s="30"/>
      <c r="J29" s="31"/>
    </row>
    <row r="31" spans="3:9" ht="15" customHeight="1">
      <c r="C31" s="98">
        <f>D10+D11+D12+D17+D20+D22+D25</f>
        <v>50315.020000000004</v>
      </c>
      <c r="F31" s="61">
        <f>C31</f>
        <v>50315.020000000004</v>
      </c>
      <c r="I31" s="61">
        <f>C31</f>
        <v>50315.020000000004</v>
      </c>
    </row>
    <row r="32" spans="3:9" ht="15" customHeight="1">
      <c r="C32" s="62">
        <f>G10+G11+G12+G17+G22+G25+G26</f>
        <v>59440</v>
      </c>
      <c r="F32" s="99">
        <f>C32</f>
        <v>59440</v>
      </c>
      <c r="I32" s="62">
        <f>C32</f>
        <v>59440</v>
      </c>
    </row>
    <row r="33" spans="3:9" ht="15" customHeight="1">
      <c r="C33" s="63">
        <f>J16+J24</f>
        <v>80550</v>
      </c>
      <c r="F33" s="63">
        <f>C33</f>
        <v>80550</v>
      </c>
      <c r="I33" s="100">
        <f>C33</f>
        <v>80550</v>
      </c>
    </row>
    <row r="34" spans="7:10" ht="15" customHeight="1">
      <c r="G34" s="11"/>
      <c r="J34" s="11"/>
    </row>
    <row r="35" spans="3:9" ht="15" customHeight="1">
      <c r="C35" s="64">
        <f>G28</f>
        <v>37455</v>
      </c>
      <c r="F35" s="66">
        <f>D28</f>
        <v>39684.979999999996</v>
      </c>
      <c r="G35" s="11"/>
      <c r="I35" s="64">
        <f>G28</f>
        <v>37455</v>
      </c>
    </row>
    <row r="36" spans="3:9" ht="15" customHeight="1">
      <c r="C36" s="65">
        <f>J28</f>
        <v>31200</v>
      </c>
      <c r="F36" s="65">
        <f>J28</f>
        <v>31200</v>
      </c>
      <c r="I36" s="67">
        <f>D28</f>
        <v>39684.979999999996</v>
      </c>
    </row>
  </sheetData>
  <sheetProtection sheet="1"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  <oleObjects>
    <oleObject progId="Apresentação" dvAspect="DVASPECT_ICON" shapeId="192510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13.57421875" style="0" customWidth="1"/>
    <col min="2" max="2" width="12.28125" style="0" bestFit="1" customWidth="1"/>
  </cols>
  <sheetData>
    <row r="1" spans="1:8" ht="15">
      <c r="A1" s="102" t="s">
        <v>36</v>
      </c>
      <c r="B1" s="103"/>
      <c r="C1" s="103"/>
      <c r="D1" s="103"/>
      <c r="E1" s="85"/>
      <c r="F1" s="103"/>
      <c r="G1" s="85"/>
      <c r="H1" s="103"/>
    </row>
    <row r="2" spans="1:8" ht="15">
      <c r="A2" s="102"/>
      <c r="B2" s="103"/>
      <c r="C2" s="104"/>
      <c r="D2" s="103"/>
      <c r="E2" s="105"/>
      <c r="F2" s="103"/>
      <c r="G2" s="85"/>
      <c r="H2" s="103"/>
    </row>
    <row r="3" spans="1:8" ht="15">
      <c r="A3" s="113" t="s">
        <v>31</v>
      </c>
      <c r="B3" s="113"/>
      <c r="C3" s="101" t="s">
        <v>23</v>
      </c>
      <c r="D3" s="83" t="s">
        <v>19</v>
      </c>
      <c r="E3" s="83" t="s">
        <v>20</v>
      </c>
      <c r="F3" s="83" t="s">
        <v>3</v>
      </c>
      <c r="G3" s="83" t="s">
        <v>21</v>
      </c>
      <c r="H3" s="83" t="s">
        <v>32</v>
      </c>
    </row>
    <row r="4" spans="1:8" ht="15">
      <c r="A4" s="82">
        <v>0</v>
      </c>
      <c r="B4" s="82">
        <v>120000</v>
      </c>
      <c r="C4" s="85">
        <v>0.045</v>
      </c>
      <c r="D4" s="86">
        <v>0</v>
      </c>
      <c r="E4" s="86">
        <v>0.0122</v>
      </c>
      <c r="F4" s="86">
        <v>0.0128</v>
      </c>
      <c r="G4" s="86">
        <v>0</v>
      </c>
      <c r="H4" s="86">
        <v>0.02</v>
      </c>
    </row>
    <row r="5" spans="1:8" ht="15">
      <c r="A5" s="82">
        <f>B4+0.01</f>
        <v>120000.01</v>
      </c>
      <c r="B5" s="82">
        <f>240000</f>
        <v>240000</v>
      </c>
      <c r="C5" s="85">
        <v>0.0654</v>
      </c>
      <c r="D5" s="86">
        <v>0</v>
      </c>
      <c r="E5" s="86">
        <v>0.0184</v>
      </c>
      <c r="F5" s="86">
        <v>0.0191</v>
      </c>
      <c r="G5" s="86">
        <v>0</v>
      </c>
      <c r="H5" s="86">
        <v>0.0279</v>
      </c>
    </row>
    <row r="6" spans="1:8" ht="15">
      <c r="A6" s="82">
        <f aca="true" t="shared" si="0" ref="A6:A22">B5+0.01</f>
        <v>240000.01</v>
      </c>
      <c r="B6" s="82">
        <f>360000</f>
        <v>360000</v>
      </c>
      <c r="C6" s="85">
        <v>0.077</v>
      </c>
      <c r="D6" s="86">
        <v>0.0016</v>
      </c>
      <c r="E6" s="86">
        <v>0.0185</v>
      </c>
      <c r="F6" s="86">
        <v>0.0195</v>
      </c>
      <c r="G6" s="86">
        <v>0.0024</v>
      </c>
      <c r="H6" s="86">
        <v>0.035</v>
      </c>
    </row>
    <row r="7" spans="1:8" ht="15">
      <c r="A7" s="82">
        <f t="shared" si="0"/>
        <v>360000.01</v>
      </c>
      <c r="B7" s="82">
        <f>480000</f>
        <v>480000</v>
      </c>
      <c r="C7" s="85">
        <v>0.0849</v>
      </c>
      <c r="D7" s="86">
        <v>0.0052</v>
      </c>
      <c r="E7" s="86">
        <v>0.0187</v>
      </c>
      <c r="F7" s="86">
        <v>0.0199</v>
      </c>
      <c r="G7" s="86">
        <v>0.0027</v>
      </c>
      <c r="H7" s="86">
        <v>0.0384</v>
      </c>
    </row>
    <row r="8" spans="1:8" ht="15">
      <c r="A8" s="82">
        <f t="shared" si="0"/>
        <v>480000.01</v>
      </c>
      <c r="B8" s="82">
        <f>600000</f>
        <v>600000</v>
      </c>
      <c r="C8" s="85">
        <v>0.0897</v>
      </c>
      <c r="D8" s="86">
        <v>0.0089</v>
      </c>
      <c r="E8" s="86">
        <v>0.0189</v>
      </c>
      <c r="F8" s="86">
        <v>0.0203</v>
      </c>
      <c r="G8" s="86">
        <v>0.0029</v>
      </c>
      <c r="H8" s="86">
        <v>0.0387</v>
      </c>
    </row>
    <row r="9" spans="1:8" ht="15">
      <c r="A9" s="82">
        <f t="shared" si="0"/>
        <v>600000.01</v>
      </c>
      <c r="B9" s="82">
        <f>720000</f>
        <v>720000</v>
      </c>
      <c r="C9" s="85">
        <v>0.0978</v>
      </c>
      <c r="D9" s="86">
        <v>0.0125</v>
      </c>
      <c r="E9" s="86">
        <v>0.0191</v>
      </c>
      <c r="F9" s="86">
        <v>0.0207</v>
      </c>
      <c r="G9" s="86">
        <v>0.0032</v>
      </c>
      <c r="H9" s="86">
        <v>0.0423</v>
      </c>
    </row>
    <row r="10" spans="1:8" ht="15">
      <c r="A10" s="82">
        <f t="shared" si="0"/>
        <v>720000.01</v>
      </c>
      <c r="B10" s="82">
        <f>840000</f>
        <v>840000</v>
      </c>
      <c r="C10" s="85">
        <v>0.1026</v>
      </c>
      <c r="D10" s="86">
        <v>0.0162</v>
      </c>
      <c r="E10" s="86">
        <v>0.0193</v>
      </c>
      <c r="F10" s="86">
        <v>0.0211</v>
      </c>
      <c r="G10" s="86">
        <v>0.0034</v>
      </c>
      <c r="H10" s="86">
        <v>0.0426</v>
      </c>
    </row>
    <row r="11" spans="1:8" ht="15">
      <c r="A11" s="82">
        <f t="shared" si="0"/>
        <v>840000.01</v>
      </c>
      <c r="B11" s="82">
        <f>960000</f>
        <v>960000</v>
      </c>
      <c r="C11" s="85">
        <v>0.1076</v>
      </c>
      <c r="D11" s="86">
        <v>0.02</v>
      </c>
      <c r="E11" s="86">
        <v>0.0195</v>
      </c>
      <c r="F11" s="86">
        <v>0.0215</v>
      </c>
      <c r="G11" s="86">
        <v>0.0035</v>
      </c>
      <c r="H11" s="86">
        <v>0.0431</v>
      </c>
    </row>
    <row r="12" spans="1:8" ht="15">
      <c r="A12" s="82">
        <f t="shared" si="0"/>
        <v>960000.01</v>
      </c>
      <c r="B12" s="82">
        <f>1080000</f>
        <v>1080000</v>
      </c>
      <c r="C12" s="85">
        <v>0.1151</v>
      </c>
      <c r="D12" s="86">
        <v>0.0237</v>
      </c>
      <c r="E12" s="86">
        <v>0.0197</v>
      </c>
      <c r="F12" s="86">
        <v>0.0219</v>
      </c>
      <c r="G12" s="86">
        <v>0.0037</v>
      </c>
      <c r="H12" s="86">
        <v>0.0461</v>
      </c>
    </row>
    <row r="13" spans="1:8" ht="15">
      <c r="A13" s="82">
        <f t="shared" si="0"/>
        <v>1080000.01</v>
      </c>
      <c r="B13" s="82">
        <f>1200000</f>
        <v>1200000</v>
      </c>
      <c r="C13" s="85">
        <v>0.12</v>
      </c>
      <c r="D13" s="86">
        <v>0.0274</v>
      </c>
      <c r="E13" s="86">
        <v>0.02</v>
      </c>
      <c r="F13" s="86">
        <v>0.0223</v>
      </c>
      <c r="G13" s="86">
        <v>0.0038</v>
      </c>
      <c r="H13" s="86">
        <v>0.0465</v>
      </c>
    </row>
    <row r="14" spans="1:8" ht="15">
      <c r="A14" s="82">
        <f t="shared" si="0"/>
        <v>1200000.01</v>
      </c>
      <c r="B14" s="82">
        <f>1320000</f>
        <v>1320000</v>
      </c>
      <c r="C14" s="85">
        <v>0.128</v>
      </c>
      <c r="D14" s="86">
        <v>0.0312</v>
      </c>
      <c r="E14" s="86">
        <v>0.0201</v>
      </c>
      <c r="F14" s="86">
        <v>0.0227</v>
      </c>
      <c r="G14" s="86">
        <v>0.004</v>
      </c>
      <c r="H14" s="86">
        <v>0.05</v>
      </c>
    </row>
    <row r="15" spans="1:8" ht="15">
      <c r="A15" s="82">
        <f t="shared" si="0"/>
        <v>1320000.01</v>
      </c>
      <c r="B15" s="82">
        <f>1440000</f>
        <v>1440000</v>
      </c>
      <c r="C15" s="85">
        <v>0.1325</v>
      </c>
      <c r="D15" s="86">
        <v>0.0349</v>
      </c>
      <c r="E15" s="86">
        <v>0.0203</v>
      </c>
      <c r="F15" s="86">
        <v>0.0231</v>
      </c>
      <c r="G15" s="86">
        <v>0.0042</v>
      </c>
      <c r="H15" s="86">
        <v>0.05</v>
      </c>
    </row>
    <row r="16" spans="1:8" ht="15">
      <c r="A16" s="82">
        <f t="shared" si="0"/>
        <v>1440000.01</v>
      </c>
      <c r="B16" s="82">
        <f>1560000</f>
        <v>1560000</v>
      </c>
      <c r="C16" s="85">
        <v>0.137</v>
      </c>
      <c r="D16" s="86">
        <v>0.0386</v>
      </c>
      <c r="E16" s="86">
        <v>0.0205</v>
      </c>
      <c r="F16" s="86">
        <v>0.0235</v>
      </c>
      <c r="G16" s="86">
        <v>0.0044</v>
      </c>
      <c r="H16" s="86">
        <v>0.05</v>
      </c>
    </row>
    <row r="17" spans="1:8" ht="15">
      <c r="A17" s="82">
        <f t="shared" si="0"/>
        <v>1560000.01</v>
      </c>
      <c r="B17" s="82">
        <f>1680000</f>
        <v>1680000</v>
      </c>
      <c r="C17" s="85">
        <v>0.1415</v>
      </c>
      <c r="D17" s="86">
        <v>0.0423</v>
      </c>
      <c r="E17" s="86">
        <v>0.0207</v>
      </c>
      <c r="F17" s="86">
        <v>0.0239</v>
      </c>
      <c r="G17" s="86">
        <v>0.0046</v>
      </c>
      <c r="H17" s="86">
        <v>0.05</v>
      </c>
    </row>
    <row r="18" spans="1:8" ht="15">
      <c r="A18" s="82">
        <f t="shared" si="0"/>
        <v>1680000.01</v>
      </c>
      <c r="B18" s="82">
        <f>1800000</f>
        <v>1800000</v>
      </c>
      <c r="C18" s="85">
        <v>0.146</v>
      </c>
      <c r="D18" s="86">
        <v>0.046</v>
      </c>
      <c r="E18" s="86">
        <v>0.021</v>
      </c>
      <c r="F18" s="86">
        <v>0.0243</v>
      </c>
      <c r="G18" s="86">
        <v>0.0047</v>
      </c>
      <c r="H18" s="86">
        <v>0.05</v>
      </c>
    </row>
    <row r="19" spans="1:8" ht="15">
      <c r="A19" s="82">
        <f t="shared" si="0"/>
        <v>1800000.01</v>
      </c>
      <c r="B19" s="82">
        <f>1920000</f>
        <v>1920000</v>
      </c>
      <c r="C19" s="85">
        <v>0.1505</v>
      </c>
      <c r="D19" s="86">
        <v>0.049</v>
      </c>
      <c r="E19" s="86">
        <v>0.0219</v>
      </c>
      <c r="F19" s="86">
        <v>0.0247</v>
      </c>
      <c r="G19" s="86">
        <v>0.0049</v>
      </c>
      <c r="H19" s="86">
        <v>0.05</v>
      </c>
    </row>
    <row r="20" spans="1:8" ht="15">
      <c r="A20" s="82">
        <f t="shared" si="0"/>
        <v>1920000.01</v>
      </c>
      <c r="B20" s="82">
        <f>2040000</f>
        <v>2040000</v>
      </c>
      <c r="C20" s="85">
        <v>0.155</v>
      </c>
      <c r="D20" s="86">
        <v>0.0521</v>
      </c>
      <c r="E20" s="86">
        <v>0.0227</v>
      </c>
      <c r="F20" s="86">
        <v>0.0251</v>
      </c>
      <c r="G20" s="86">
        <v>0.0051</v>
      </c>
      <c r="H20" s="86">
        <v>0.05</v>
      </c>
    </row>
    <row r="21" spans="1:8" ht="15">
      <c r="A21" s="82">
        <f t="shared" si="0"/>
        <v>2040000.01</v>
      </c>
      <c r="B21" s="82">
        <f>2160000</f>
        <v>2160000</v>
      </c>
      <c r="C21" s="85">
        <v>0.1595</v>
      </c>
      <c r="D21" s="86">
        <v>0.0551</v>
      </c>
      <c r="E21" s="86">
        <v>0.0236</v>
      </c>
      <c r="F21" s="86">
        <v>0.0255</v>
      </c>
      <c r="G21" s="86">
        <v>0.0053</v>
      </c>
      <c r="H21" s="86">
        <v>0.05</v>
      </c>
    </row>
    <row r="22" spans="1:8" ht="15">
      <c r="A22" s="82">
        <f t="shared" si="0"/>
        <v>2160000.01</v>
      </c>
      <c r="B22" s="82">
        <f>2280000</f>
        <v>2280000</v>
      </c>
      <c r="C22" s="85">
        <v>0.164</v>
      </c>
      <c r="D22" s="86">
        <v>0.0581</v>
      </c>
      <c r="E22" s="86">
        <v>0.0245</v>
      </c>
      <c r="F22" s="86">
        <v>0.0259</v>
      </c>
      <c r="G22" s="86">
        <v>0.0055</v>
      </c>
      <c r="H22" s="86">
        <v>0.05</v>
      </c>
    </row>
    <row r="23" spans="1:8" ht="15">
      <c r="A23" s="82">
        <f>2280000.01</f>
        <v>2280000.01</v>
      </c>
      <c r="B23" s="82">
        <v>2400000</v>
      </c>
      <c r="C23" s="85">
        <v>0.1685</v>
      </c>
      <c r="D23" s="86">
        <v>0.0612</v>
      </c>
      <c r="E23" s="86">
        <v>0.0253</v>
      </c>
      <c r="F23" s="86">
        <v>0.0263</v>
      </c>
      <c r="G23" s="86">
        <v>0.0057</v>
      </c>
      <c r="H23" s="86">
        <v>0.05</v>
      </c>
    </row>
    <row r="24" spans="1:8" ht="15">
      <c r="A24" s="82">
        <f>2400000*1.2</f>
        <v>2880000</v>
      </c>
      <c r="B24" s="82"/>
      <c r="C24" s="85">
        <v>0.1685</v>
      </c>
      <c r="D24" s="85"/>
      <c r="E24" s="85"/>
      <c r="F24" s="85"/>
      <c r="G24" s="85"/>
      <c r="H24" s="85"/>
    </row>
  </sheetData>
  <sheetProtection sheet="1"/>
  <mergeCells count="1">
    <mergeCell ref="A3:B3"/>
  </mergeCells>
  <hyperlinks>
    <hyperlink ref="D3" r:id="rId1" display="http://www.planalto.gov.br/ccivil_03/Leis/LCP/Lcp128.htm"/>
    <hyperlink ref="E3" r:id="rId2" display="http://www.planalto.gov.br/ccivil_03/Leis/LCP/Lcp128.htm"/>
    <hyperlink ref="F3" r:id="rId3" display="http://www.planalto.gov.br/ccivil_03/Leis/LCP/Lcp128.htm"/>
    <hyperlink ref="G3" r:id="rId4" display="http://www.planalto.gov.br/ccivil_03/Leis/LCP/Lcp128.htm"/>
    <hyperlink ref="H3" r:id="rId5" display="http://www.planalto.gov.br/ccivil_03/Leis/LCP/Lcp128.htm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Obs.</dc:creator>
  <cp:keywords/>
  <dc:description/>
  <cp:lastModifiedBy>scvieira</cp:lastModifiedBy>
  <dcterms:created xsi:type="dcterms:W3CDTF">2011-04-15T19:05:09Z</dcterms:created>
  <dcterms:modified xsi:type="dcterms:W3CDTF">2011-06-30T23:37:28Z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